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192 - 2014\"/>
    </mc:Choice>
  </mc:AlternateContent>
  <bookViews>
    <workbookView xWindow="0" yWindow="0" windowWidth="20490" windowHeight="9915" activeTab="2"/>
  </bookViews>
  <sheets>
    <sheet name="Pieper's Solution" sheetId="4" r:id="rId1"/>
    <sheet name="Pieper's Problem (4.16)" sheetId="3" r:id="rId2"/>
    <sheet name="Pieper's Problem (4.17)" sheetId="2" r:id="rId3"/>
    <sheet name="Work sheet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2" l="1"/>
  <c r="U28" i="2"/>
  <c r="U25" i="2"/>
  <c r="U24" i="2"/>
  <c r="E24" i="4" l="1"/>
  <c r="O21" i="4"/>
  <c r="O20" i="4"/>
  <c r="O19" i="4"/>
  <c r="O18" i="4"/>
  <c r="K18" i="4"/>
  <c r="J18" i="4"/>
  <c r="I18" i="4"/>
  <c r="H18" i="4"/>
  <c r="G18" i="4"/>
  <c r="F18" i="4"/>
  <c r="O17" i="4"/>
  <c r="H17" i="4"/>
  <c r="G17" i="4"/>
  <c r="F17" i="4"/>
  <c r="I17" i="4"/>
  <c r="O16" i="4"/>
  <c r="I16" i="4"/>
  <c r="H16" i="4"/>
  <c r="G16" i="4"/>
  <c r="F16" i="4"/>
  <c r="O15" i="4"/>
  <c r="I15" i="4"/>
  <c r="H15" i="4"/>
  <c r="N22" i="4" s="1"/>
  <c r="G15" i="4"/>
  <c r="F15" i="4"/>
  <c r="I29" i="4" s="1"/>
  <c r="O14" i="4"/>
  <c r="P9" i="4"/>
  <c r="P9" i="2"/>
  <c r="E24" i="2"/>
  <c r="O21" i="2"/>
  <c r="O20" i="2"/>
  <c r="O19" i="2"/>
  <c r="O18" i="2"/>
  <c r="K18" i="2"/>
  <c r="J18" i="2"/>
  <c r="I18" i="2"/>
  <c r="H18" i="2"/>
  <c r="G18" i="2"/>
  <c r="F18" i="2"/>
  <c r="O17" i="2"/>
  <c r="H17" i="2"/>
  <c r="G17" i="2"/>
  <c r="F17" i="2"/>
  <c r="I17" i="2"/>
  <c r="O16" i="2"/>
  <c r="I16" i="2"/>
  <c r="U26" i="2" s="1"/>
  <c r="H16" i="2"/>
  <c r="G16" i="2"/>
  <c r="F16" i="2"/>
  <c r="O15" i="2"/>
  <c r="I15" i="2"/>
  <c r="H15" i="2"/>
  <c r="G15" i="2"/>
  <c r="F15" i="2"/>
  <c r="O14" i="2"/>
  <c r="T24" i="4" l="1"/>
  <c r="T25" i="4"/>
  <c r="T26" i="4"/>
  <c r="Q20" i="4"/>
  <c r="Q21" i="4"/>
  <c r="I26" i="4"/>
  <c r="I28" i="4"/>
  <c r="T27" i="2"/>
  <c r="T28" i="2" s="1"/>
  <c r="T29" i="2" s="1"/>
  <c r="I10" i="2" s="1"/>
  <c r="E17" i="2" s="1"/>
  <c r="Q20" i="2"/>
  <c r="Q21" i="2"/>
  <c r="T26" i="3"/>
  <c r="U27" i="2" l="1"/>
  <c r="T27" i="4"/>
  <c r="T28" i="4" s="1"/>
  <c r="T29" i="4" s="1"/>
  <c r="I10" i="4" s="1"/>
  <c r="E17" i="4" s="1"/>
  <c r="K17" i="4" s="1"/>
  <c r="J17" i="4"/>
  <c r="K17" i="2"/>
  <c r="J17" i="2"/>
  <c r="I29" i="3"/>
  <c r="I28" i="3"/>
  <c r="I26" i="3"/>
  <c r="N15" i="4" l="1"/>
  <c r="Q15" i="4" s="1"/>
  <c r="N16" i="4"/>
  <c r="Q17" i="4" s="1"/>
  <c r="Q19" i="4" s="1"/>
  <c r="N14" i="4"/>
  <c r="N15" i="2"/>
  <c r="Q15" i="2" s="1"/>
  <c r="N16" i="2"/>
  <c r="Q17" i="2" s="1"/>
  <c r="N14" i="2"/>
  <c r="P9" i="3"/>
  <c r="T25" i="3"/>
  <c r="T24" i="3"/>
  <c r="Q16" i="4" l="1"/>
  <c r="Q14" i="4"/>
  <c r="J26" i="4"/>
  <c r="J25" i="4"/>
  <c r="I24" i="4"/>
  <c r="I26" i="2"/>
  <c r="Q16" i="2"/>
  <c r="Q14" i="2"/>
  <c r="I25" i="2" s="1"/>
  <c r="J26" i="2"/>
  <c r="J25" i="2"/>
  <c r="I24" i="2"/>
  <c r="E24" i="3"/>
  <c r="I25" i="4" l="1"/>
  <c r="I27" i="4" s="1"/>
  <c r="J24" i="4"/>
  <c r="Q22" i="4"/>
  <c r="J24" i="2"/>
  <c r="J27" i="2" s="1"/>
  <c r="Q22" i="2"/>
  <c r="T26" i="5"/>
  <c r="T25" i="5"/>
  <c r="T24" i="5"/>
  <c r="N16" i="5"/>
  <c r="F21" i="2" l="1"/>
  <c r="K29" i="4"/>
  <c r="J27" i="4"/>
  <c r="J28" i="4" s="1"/>
  <c r="I27" i="2"/>
  <c r="I28" i="2" s="1"/>
  <c r="K29" i="2"/>
  <c r="J28" i="2"/>
  <c r="T27" i="5"/>
  <c r="E24" i="5"/>
  <c r="O21" i="5"/>
  <c r="O20" i="5"/>
  <c r="O19" i="5"/>
  <c r="O18" i="5"/>
  <c r="K18" i="5"/>
  <c r="J18" i="5"/>
  <c r="I18" i="5"/>
  <c r="H18" i="5"/>
  <c r="G18" i="5"/>
  <c r="F18" i="5"/>
  <c r="O17" i="5"/>
  <c r="I17" i="5"/>
  <c r="H17" i="5"/>
  <c r="G17" i="5"/>
  <c r="F17" i="5"/>
  <c r="O16" i="5"/>
  <c r="I16" i="5"/>
  <c r="H16" i="5"/>
  <c r="G16" i="5"/>
  <c r="F16" i="5"/>
  <c r="O15" i="5"/>
  <c r="I15" i="5"/>
  <c r="H15" i="5"/>
  <c r="N22" i="5" s="1"/>
  <c r="G15" i="5"/>
  <c r="F15" i="5"/>
  <c r="O14" i="5"/>
  <c r="I10" i="5"/>
  <c r="E17" i="5" s="1"/>
  <c r="P9" i="5"/>
  <c r="Q21" i="5" s="1"/>
  <c r="I29" i="2" l="1"/>
  <c r="U29" i="4"/>
  <c r="J29" i="4"/>
  <c r="J10" i="4" s="1"/>
  <c r="E16" i="4" s="1"/>
  <c r="J29" i="2"/>
  <c r="T28" i="5"/>
  <c r="T29" i="5" s="1"/>
  <c r="K17" i="5"/>
  <c r="J17" i="5"/>
  <c r="N15" i="5" s="1"/>
  <c r="Q15" i="5" s="1"/>
  <c r="Q17" i="5"/>
  <c r="Q20" i="5"/>
  <c r="I26" i="5"/>
  <c r="D17" i="3"/>
  <c r="I17" i="3" s="1"/>
  <c r="C17" i="3"/>
  <c r="O21" i="3"/>
  <c r="O20" i="3"/>
  <c r="O19" i="3"/>
  <c r="O18" i="3"/>
  <c r="K18" i="3"/>
  <c r="J18" i="3"/>
  <c r="I18" i="3"/>
  <c r="H18" i="3"/>
  <c r="G18" i="3"/>
  <c r="F18" i="3"/>
  <c r="O17" i="3"/>
  <c r="H17" i="3"/>
  <c r="G17" i="3"/>
  <c r="F17" i="3"/>
  <c r="O16" i="3"/>
  <c r="I16" i="3"/>
  <c r="H16" i="3"/>
  <c r="G16" i="3"/>
  <c r="F16" i="3"/>
  <c r="O15" i="3"/>
  <c r="I15" i="3"/>
  <c r="H15" i="3"/>
  <c r="G15" i="3"/>
  <c r="F15" i="3"/>
  <c r="O14" i="3"/>
  <c r="E16" i="2" l="1"/>
  <c r="J16" i="2" s="1"/>
  <c r="J10" i="2"/>
  <c r="K16" i="4"/>
  <c r="J16" i="4"/>
  <c r="K16" i="2"/>
  <c r="Q21" i="3"/>
  <c r="N22" i="3"/>
  <c r="I24" i="5"/>
  <c r="J25" i="5"/>
  <c r="N14" i="5"/>
  <c r="Q20" i="3"/>
  <c r="Q19" i="2" l="1"/>
  <c r="N18" i="4"/>
  <c r="N19" i="4"/>
  <c r="P10" i="4" s="1"/>
  <c r="N17" i="4"/>
  <c r="K10" i="4" s="1"/>
  <c r="E15" i="4" s="1"/>
  <c r="Q18" i="4"/>
  <c r="N18" i="2"/>
  <c r="N19" i="2"/>
  <c r="P10" i="2" s="1"/>
  <c r="N17" i="2"/>
  <c r="K10" i="2" s="1"/>
  <c r="Q18" i="2"/>
  <c r="N22" i="2" s="1"/>
  <c r="Q16" i="5"/>
  <c r="Q14" i="5"/>
  <c r="J15" i="4" l="1"/>
  <c r="K15" i="4"/>
  <c r="N10" i="4" s="1"/>
  <c r="Q10" i="4" s="1"/>
  <c r="E15" i="2"/>
  <c r="O10" i="4"/>
  <c r="J26" i="5"/>
  <c r="I25" i="5"/>
  <c r="J24" i="5"/>
  <c r="Q22" i="5"/>
  <c r="K15" i="2" l="1"/>
  <c r="J15" i="2"/>
  <c r="K29" i="5"/>
  <c r="J28" i="5"/>
  <c r="J27" i="5"/>
  <c r="I27" i="5"/>
  <c r="I28" i="5" s="1"/>
  <c r="O10" i="2" l="1"/>
  <c r="N10" i="2"/>
  <c r="I29" i="5"/>
  <c r="J29" i="5"/>
  <c r="U29" i="5"/>
  <c r="Q10" i="2" l="1"/>
  <c r="J10" i="5"/>
  <c r="E16" i="5" s="1"/>
  <c r="K16" i="5" l="1"/>
  <c r="J16" i="5"/>
  <c r="Q19" i="5" s="1"/>
  <c r="N19" i="5" l="1"/>
  <c r="P10" i="5" s="1"/>
  <c r="N18" i="5"/>
  <c r="Q18" i="5"/>
  <c r="N17" i="5"/>
  <c r="K10" i="5" s="1"/>
  <c r="E15" i="5" s="1"/>
  <c r="K15" i="5" l="1"/>
  <c r="J15" i="5"/>
  <c r="O10" i="5" s="1"/>
  <c r="N10" i="5"/>
  <c r="Q10" i="5" l="1"/>
  <c r="F24" i="5" s="1"/>
  <c r="T27" i="3"/>
  <c r="T28" i="3" s="1"/>
  <c r="T29" i="3" l="1"/>
  <c r="I10" i="3" l="1"/>
  <c r="E17" i="3" s="1"/>
  <c r="J17" i="3" l="1"/>
  <c r="K17" i="3"/>
  <c r="N14" i="3" l="1"/>
  <c r="Q14" i="3" s="1"/>
  <c r="I25" i="3" s="1"/>
  <c r="N16" i="3"/>
  <c r="Q17" i="3" s="1"/>
  <c r="Q19" i="3" s="1"/>
  <c r="N15" i="3"/>
  <c r="Q15" i="3" s="1"/>
  <c r="J24" i="3" l="1"/>
  <c r="I24" i="3"/>
  <c r="I27" i="3" s="1"/>
  <c r="J25" i="3"/>
  <c r="Q16" i="3"/>
  <c r="J26" i="3" s="1"/>
  <c r="Q22" i="3"/>
  <c r="J27" i="3" l="1"/>
  <c r="K27" i="3"/>
  <c r="J28" i="3"/>
  <c r="J29" i="3" s="1"/>
  <c r="J10" i="3" s="1"/>
  <c r="K29" i="3"/>
  <c r="E16" i="3"/>
  <c r="U29" i="3" l="1"/>
  <c r="K16" i="3"/>
  <c r="J16" i="3"/>
  <c r="N18" i="3" l="1"/>
  <c r="N19" i="3"/>
  <c r="P10" i="3" s="1"/>
  <c r="Q18" i="3"/>
  <c r="N17" i="3"/>
  <c r="K10" i="3" s="1"/>
  <c r="E15" i="3" s="1"/>
  <c r="J15" i="3" l="1"/>
  <c r="K15" i="3"/>
  <c r="O10" i="3" l="1"/>
  <c r="N10" i="3"/>
  <c r="Q10" i="3" s="1"/>
</calcChain>
</file>

<file path=xl/sharedStrings.xml><?xml version="1.0" encoding="utf-8"?>
<sst xmlns="http://schemas.openxmlformats.org/spreadsheetml/2006/main" count="358" uniqueCount="81">
  <si>
    <r>
      <t>θ</t>
    </r>
    <r>
      <rPr>
        <vertAlign val="subscript"/>
        <sz val="11"/>
        <color theme="1"/>
        <rFont val="Calibri"/>
        <family val="2"/>
        <scheme val="minor"/>
      </rPr>
      <t>i</t>
    </r>
  </si>
  <si>
    <r>
      <t>α</t>
    </r>
    <r>
      <rPr>
        <vertAlign val="subscript"/>
        <sz val="11"/>
        <color theme="1"/>
        <rFont val="Calibri"/>
        <family val="2"/>
        <scheme val="minor"/>
      </rPr>
      <t xml:space="preserve"> i-1</t>
    </r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</si>
  <si>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 i-1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</si>
  <si>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 i</t>
    </r>
  </si>
  <si>
    <t xml:space="preserve">     Denavit-Hartenberg  Parameters:</t>
  </si>
  <si>
    <t>Length</t>
  </si>
  <si>
    <t>Twist</t>
  </si>
  <si>
    <t>Offset</t>
  </si>
  <si>
    <t>Angle</t>
  </si>
  <si>
    <t>i</t>
  </si>
  <si>
    <r>
      <t>cosα</t>
    </r>
    <r>
      <rPr>
        <vertAlign val="subscript"/>
        <sz val="11"/>
        <color theme="1"/>
        <rFont val="Calibri"/>
        <family val="2"/>
        <scheme val="minor"/>
      </rPr>
      <t xml:space="preserve"> i-1</t>
    </r>
  </si>
  <si>
    <r>
      <t>sin</t>
    </r>
    <r>
      <rPr>
        <sz val="12"/>
        <color theme="1"/>
        <rFont val="Calibri"/>
        <family val="2"/>
        <scheme val="minor"/>
      </rPr>
      <t>α</t>
    </r>
    <r>
      <rPr>
        <vertAlign val="subscript"/>
        <sz val="12"/>
        <color theme="1"/>
        <rFont val="Calibri"/>
        <family val="2"/>
        <scheme val="minor"/>
      </rPr>
      <t xml:space="preserve"> i-1 </t>
    </r>
  </si>
  <si>
    <r>
      <t>sinθ</t>
    </r>
    <r>
      <rPr>
        <vertAlign val="subscript"/>
        <sz val="11"/>
        <color theme="1"/>
        <rFont val="Calibri"/>
        <family val="2"/>
        <scheme val="minor"/>
      </rPr>
      <t>i</t>
    </r>
  </si>
  <si>
    <t>cosθi</t>
  </si>
  <si>
    <t>LHS =</t>
  </si>
  <si>
    <t>RHS =</t>
  </si>
  <si>
    <r>
      <t>P</t>
    </r>
    <r>
      <rPr>
        <vertAlign val="subscript"/>
        <sz val="11"/>
        <color theme="1"/>
        <rFont val="Calibri"/>
        <family val="2"/>
        <scheme val="minor"/>
      </rPr>
      <t>4Org</t>
    </r>
  </si>
  <si>
    <r>
      <t>P</t>
    </r>
    <r>
      <rPr>
        <vertAlign val="subscript"/>
        <sz val="11"/>
        <color theme="1"/>
        <rFont val="Calibri"/>
        <family val="2"/>
        <scheme val="minor"/>
      </rPr>
      <t>x</t>
    </r>
  </si>
  <si>
    <r>
      <t>P</t>
    </r>
    <r>
      <rPr>
        <vertAlign val="subscript"/>
        <sz val="11"/>
        <color theme="1"/>
        <rFont val="Calibri"/>
        <family val="2"/>
        <scheme val="minor"/>
      </rPr>
      <t>y</t>
    </r>
  </si>
  <si>
    <r>
      <t>P</t>
    </r>
    <r>
      <rPr>
        <vertAlign val="subscript"/>
        <sz val="11"/>
        <color theme="1"/>
        <rFont val="Calibri"/>
        <family val="2"/>
        <scheme val="minor"/>
      </rPr>
      <t>z</t>
    </r>
  </si>
  <si>
    <t xml:space="preserve">k1(θ3) = </t>
  </si>
  <si>
    <t xml:space="preserve">k2(θ3) = </t>
  </si>
  <si>
    <t xml:space="preserve">k3(θ3) = </t>
  </si>
  <si>
    <t xml:space="preserve">k4(θ3) = </t>
  </si>
  <si>
    <t>f1(θ3) =</t>
  </si>
  <si>
    <t>f2(θ3) =</t>
  </si>
  <si>
    <t>f3(θ3) =</t>
  </si>
  <si>
    <t>g1(θ2,θ3)=</t>
  </si>
  <si>
    <t>g2(θ2,θ3)=</t>
  </si>
  <si>
    <t>g3(θ2,θ3)=</t>
  </si>
  <si>
    <t>r(θ2,θ3)=</t>
  </si>
  <si>
    <t>z(θ2,θ3)=</t>
  </si>
  <si>
    <t>Calculated</t>
  </si>
  <si>
    <t>θ1</t>
  </si>
  <si>
    <t>θ3</t>
  </si>
  <si>
    <t>θ2</t>
  </si>
  <si>
    <t xml:space="preserve">, </t>
  </si>
  <si>
    <t>Specified</t>
  </si>
  <si>
    <t>r(spec)=</t>
  </si>
  <si>
    <t>z(spec)=</t>
  </si>
  <si>
    <t>Sum Sq. Error</t>
  </si>
  <si>
    <t>percent</t>
  </si>
  <si>
    <t>Index</t>
  </si>
  <si>
    <t>Pieper's Solution</t>
  </si>
  <si>
    <t xml:space="preserve">For given P=[px, py, pz], find [θ3, θ2, θ1] which will meet the wrist joint position requirement. </t>
  </si>
  <si>
    <t>Sequentially find θ3, θ2, and θ1.  Find θ3 first, then, θ2 and θ1 will follow.</t>
  </si>
  <si>
    <t>Blue</t>
  </si>
  <si>
    <t>Yellow</t>
  </si>
  <si>
    <t>Orange</t>
  </si>
  <si>
    <t>For partial demonstration only</t>
  </si>
  <si>
    <t>a</t>
  </si>
  <si>
    <t>b</t>
  </si>
  <si>
    <t>c</t>
  </si>
  <si>
    <t>u</t>
  </si>
  <si>
    <t>sqrt</t>
  </si>
  <si>
    <t>a cosθ+ b sinθ = c</t>
  </si>
  <si>
    <t>If</t>
  </si>
  <si>
    <t>Else</t>
  </si>
  <si>
    <t>Z Eq.</t>
  </si>
  <si>
    <t>R Eq.</t>
  </si>
  <si>
    <t>Z, R Eq.</t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</si>
  <si>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=0</t>
    </r>
  </si>
  <si>
    <r>
      <t>sin</t>
    </r>
    <r>
      <rPr>
        <sz val="12"/>
        <color theme="1"/>
        <rFont val="Calibri"/>
        <family val="2"/>
        <scheme val="minor"/>
      </rPr>
      <t>α</t>
    </r>
    <r>
      <rPr>
        <vertAlign val="subscript"/>
        <sz val="12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>=0</t>
    </r>
  </si>
  <si>
    <t>Case 1</t>
  </si>
  <si>
    <t>Case 2</t>
  </si>
  <si>
    <t>Case 3</t>
  </si>
  <si>
    <t>Error</t>
  </si>
  <si>
    <t>θ3 min</t>
  </si>
  <si>
    <t>θ3 max</t>
  </si>
  <si>
    <t>Incrmnts</t>
  </si>
  <si>
    <r>
      <t>i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10</t>
    </r>
  </si>
  <si>
    <t>θ3 Finder</t>
  </si>
  <si>
    <t>z=k4</t>
  </si>
  <si>
    <t>r=k3</t>
  </si>
  <si>
    <t>θ2 Finder</t>
  </si>
  <si>
    <t>r Eq.</t>
  </si>
  <si>
    <t>Z eq.</t>
  </si>
  <si>
    <t>D-H Data</t>
  </si>
  <si>
    <t>User Selected</t>
  </si>
  <si>
    <t>a1=0</t>
  </si>
  <si>
    <t>sinα1 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</si>
</sst>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6" xfId="0" applyNumberFormat="1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4" borderId="3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/>
    <xf numFmtId="164" fontId="0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3" borderId="3" xfId="0" applyNumberFormat="1" applyFill="1" applyBorder="1"/>
    <xf numFmtId="0" fontId="0" fillId="3" borderId="3" xfId="0" applyFill="1" applyBorder="1" applyAlignment="1">
      <alignment horizontal="center" vertical="center"/>
    </xf>
    <xf numFmtId="164" fontId="0" fillId="3" borderId="0" xfId="0" applyNumberFormat="1" applyFill="1"/>
    <xf numFmtId="164" fontId="0" fillId="3" borderId="4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" xfId="0" applyBorder="1"/>
    <xf numFmtId="166" fontId="0" fillId="5" borderId="3" xfId="0" applyNumberForma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5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3" workbookViewId="0">
      <selection activeCell="K11" sqref="K11"/>
    </sheetView>
  </sheetViews>
  <sheetFormatPr defaultRowHeight="15" x14ac:dyDescent="0.25"/>
  <cols>
    <col min="1" max="4" width="8.7109375" customWidth="1"/>
    <col min="5" max="5" width="9.42578125" style="1" customWidth="1"/>
    <col min="6" max="6" width="8.5703125" style="1" customWidth="1"/>
    <col min="7" max="7" width="8.7109375" style="2" customWidth="1"/>
    <col min="8" max="8" width="9.28515625" style="2" customWidth="1"/>
    <col min="9" max="15" width="8.7109375" style="2" customWidth="1"/>
    <col min="16" max="16" width="8.7109375" style="1" customWidth="1"/>
    <col min="17" max="17" width="8.42578125" style="1" customWidth="1"/>
  </cols>
  <sheetData>
    <row r="1" spans="1:17" x14ac:dyDescent="0.25">
      <c r="I1" s="2" t="s">
        <v>36</v>
      </c>
    </row>
    <row r="2" spans="1:17" x14ac:dyDescent="0.25">
      <c r="H2" s="2" t="s">
        <v>43</v>
      </c>
    </row>
    <row r="3" spans="1:17" x14ac:dyDescent="0.25">
      <c r="H3" s="2" t="s">
        <v>49</v>
      </c>
    </row>
    <row r="5" spans="1:17" x14ac:dyDescent="0.25">
      <c r="E5" s="4" t="s">
        <v>44</v>
      </c>
    </row>
    <row r="6" spans="1:17" x14ac:dyDescent="0.25">
      <c r="E6" t="s">
        <v>45</v>
      </c>
    </row>
    <row r="7" spans="1:17" ht="18" x14ac:dyDescent="0.25">
      <c r="E7"/>
      <c r="M7" s="23"/>
      <c r="N7" s="8"/>
      <c r="O7" s="18" t="s">
        <v>16</v>
      </c>
      <c r="P7" s="7"/>
    </row>
    <row r="8" spans="1:17" ht="18" x14ac:dyDescent="0.25">
      <c r="E8" s="46" t="s">
        <v>46</v>
      </c>
      <c r="F8" s="4" t="s">
        <v>77</v>
      </c>
      <c r="M8" s="24"/>
      <c r="N8" s="17" t="s">
        <v>17</v>
      </c>
      <c r="O8" s="17" t="s">
        <v>18</v>
      </c>
      <c r="P8" s="17" t="s">
        <v>19</v>
      </c>
      <c r="Q8" s="1" t="s">
        <v>40</v>
      </c>
    </row>
    <row r="9" spans="1:17" x14ac:dyDescent="0.25">
      <c r="E9" s="47" t="s">
        <v>47</v>
      </c>
      <c r="F9" s="4" t="s">
        <v>78</v>
      </c>
      <c r="I9" s="16" t="s">
        <v>34</v>
      </c>
      <c r="J9" s="16" t="s">
        <v>35</v>
      </c>
      <c r="K9" s="16" t="s">
        <v>33</v>
      </c>
      <c r="M9" s="25" t="s">
        <v>37</v>
      </c>
      <c r="N9" s="22">
        <v>1.1000000000000001</v>
      </c>
      <c r="O9" s="22">
        <v>1.5</v>
      </c>
      <c r="P9" s="22">
        <f>1+1/SQRT(2)</f>
        <v>1.7071067811865475</v>
      </c>
    </row>
    <row r="10" spans="1:17" x14ac:dyDescent="0.25">
      <c r="E10" s="48" t="s">
        <v>48</v>
      </c>
      <c r="F10" s="4" t="s">
        <v>32</v>
      </c>
      <c r="I10" s="26" t="e">
        <f>IF(ABS(F15)&lt;0.0001,T29,E24)</f>
        <v>#NUM!</v>
      </c>
      <c r="J10" s="26" t="e">
        <f>IF(ABS(SIN(F15)&lt;0.001),J29,IF(   ABS(SIN(H15)&lt;0.001),I29,"NA"      ))</f>
        <v>#NUM!</v>
      </c>
      <c r="K10" s="26" t="e">
        <f>IF(ABS(N17)&lt;0.0001,DEGREES(ASIN(-N9/N18)),IF(ABS(N18)&lt;0.0001,DEGREES(ASIN(O9/N17)),DEGREES(ASIN((N17*O9-N18*N9)/(N17^2-N18^2)))))</f>
        <v>#NUM!</v>
      </c>
      <c r="M10" s="25" t="s">
        <v>32</v>
      </c>
      <c r="N10" s="27" t="e">
        <f>INDEX(F15:K18,1,6)*N17-INDEX(F15:K18,1,5)*N18</f>
        <v>#NUM!</v>
      </c>
      <c r="O10" s="27" t="e">
        <f>INDEX(F15:K18,1,5)*N17+INDEX(F15:K18,1,6)*N18</f>
        <v>#NUM!</v>
      </c>
      <c r="P10" s="27" t="e">
        <f>N19</f>
        <v>#NUM!</v>
      </c>
      <c r="Q10" s="1" t="e">
        <f>((N9-N10)^2+(O9-O10)^2+(P9-P10)^2)/(N9^2+O9^2+P9^2)*100</f>
        <v>#NUM!</v>
      </c>
    </row>
    <row r="11" spans="1:17" x14ac:dyDescent="0.25">
      <c r="A11" s="2"/>
      <c r="B11" s="2"/>
      <c r="C11" s="2"/>
      <c r="D11" s="2"/>
      <c r="E11" s="2"/>
      <c r="G11" s="1"/>
      <c r="H11" s="1"/>
      <c r="I11"/>
      <c r="J11"/>
      <c r="K11"/>
      <c r="L11"/>
      <c r="Q11" t="s">
        <v>41</v>
      </c>
    </row>
    <row r="12" spans="1:17" x14ac:dyDescent="0.25">
      <c r="A12" s="2"/>
      <c r="B12" s="1" t="s">
        <v>4</v>
      </c>
      <c r="C12" s="1"/>
      <c r="E12"/>
      <c r="G12" s="1"/>
      <c r="H12"/>
      <c r="I12"/>
      <c r="J12"/>
      <c r="K12"/>
      <c r="L12"/>
    </row>
    <row r="13" spans="1:17" x14ac:dyDescent="0.25">
      <c r="A13" s="2"/>
      <c r="B13" s="6" t="s">
        <v>6</v>
      </c>
      <c r="C13" s="6" t="s">
        <v>5</v>
      </c>
      <c r="D13" s="11" t="s">
        <v>7</v>
      </c>
      <c r="E13" s="6" t="s">
        <v>8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/>
      <c r="O13" s="2" t="s">
        <v>42</v>
      </c>
    </row>
    <row r="14" spans="1:17" ht="18.75" x14ac:dyDescent="0.25">
      <c r="A14" s="13" t="s">
        <v>9</v>
      </c>
      <c r="B14" s="9" t="s">
        <v>1</v>
      </c>
      <c r="C14" s="9" t="s">
        <v>2</v>
      </c>
      <c r="D14" s="9" t="s">
        <v>3</v>
      </c>
      <c r="E14" s="36" t="s">
        <v>0</v>
      </c>
      <c r="F14" s="9" t="s">
        <v>11</v>
      </c>
      <c r="G14" s="9" t="s">
        <v>10</v>
      </c>
      <c r="H14" s="9" t="s">
        <v>2</v>
      </c>
      <c r="I14" s="9" t="s">
        <v>3</v>
      </c>
      <c r="J14" s="9" t="s">
        <v>12</v>
      </c>
      <c r="K14" s="14" t="s">
        <v>13</v>
      </c>
      <c r="M14" s="5" t="s">
        <v>24</v>
      </c>
      <c r="N14" s="5" t="e">
        <f>INDEX(F15:K18,3,3)*INDEX(F15:K18,3,6)+INDEX(F15:K18,4,4)*INDEX(F15:K18,3,1)*INDEX(F15:K18,3,5)+INDEX(F15:K18,2,3)</f>
        <v>#NUM!</v>
      </c>
      <c r="O14" s="19">
        <f>ROW(Q14)</f>
        <v>14</v>
      </c>
      <c r="P14" s="5" t="s">
        <v>20</v>
      </c>
      <c r="Q14" s="5" t="e">
        <f>N14</f>
        <v>#NUM!</v>
      </c>
    </row>
    <row r="15" spans="1:17" x14ac:dyDescent="0.25">
      <c r="A15" s="12">
        <v>1</v>
      </c>
      <c r="B15" s="22">
        <v>0</v>
      </c>
      <c r="C15" s="22">
        <v>0</v>
      </c>
      <c r="D15" s="22">
        <v>0</v>
      </c>
      <c r="E15" s="35" t="e">
        <f>K10</f>
        <v>#NUM!</v>
      </c>
      <c r="F15" s="10">
        <f>SIN(RADIANS(B15))</f>
        <v>0</v>
      </c>
      <c r="G15" s="10">
        <f>COS(RADIANS(B15))</f>
        <v>1</v>
      </c>
      <c r="H15" s="10">
        <f t="shared" ref="H15:I18" si="0">C15</f>
        <v>0</v>
      </c>
      <c r="I15" s="10">
        <f t="shared" si="0"/>
        <v>0</v>
      </c>
      <c r="J15" s="10" t="e">
        <f>SIN(RADIANS(E15))</f>
        <v>#NUM!</v>
      </c>
      <c r="K15" s="14" t="e">
        <f>COS(RADIANS(E15))</f>
        <v>#NUM!</v>
      </c>
      <c r="L15" s="15"/>
      <c r="M15" s="5" t="s">
        <v>25</v>
      </c>
      <c r="N15" s="5" t="e">
        <f>INDEX(F15:K18,3,3)*INDEX(F15:K18,2,2)*INDEX(F15:K18,3,5)-INDEX(F15:K18,4,4)*INDEX(F15:K18,3,1)*INDEX(F15:K18,2,2)*INDEX(F15:K18,3,6)-INDEX(F15:K18,4,4)*INDEX(F15:K18,2,1)*INDEX(F15:K18,3,2)-INDEX(F15:K18,3,4)*INDEX(F15:K18,2,1)</f>
        <v>#NUM!</v>
      </c>
      <c r="O15" s="19">
        <f t="shared" ref="O15:O21" si="1">ROW(Q15)</f>
        <v>15</v>
      </c>
      <c r="P15" s="5" t="s">
        <v>21</v>
      </c>
      <c r="Q15" s="5" t="e">
        <f>-N15</f>
        <v>#NUM!</v>
      </c>
    </row>
    <row r="16" spans="1:17" x14ac:dyDescent="0.25">
      <c r="A16" s="12">
        <v>2</v>
      </c>
      <c r="B16" s="22">
        <v>0</v>
      </c>
      <c r="C16" s="22">
        <v>0</v>
      </c>
      <c r="D16" s="22">
        <v>0</v>
      </c>
      <c r="E16" s="35" t="e">
        <f>J10</f>
        <v>#NUM!</v>
      </c>
      <c r="F16" s="10">
        <f>SIN(RADIANS(B16))</f>
        <v>0</v>
      </c>
      <c r="G16" s="10">
        <f>COS(RADIANS(B16))</f>
        <v>1</v>
      </c>
      <c r="H16" s="10">
        <f t="shared" si="0"/>
        <v>0</v>
      </c>
      <c r="I16" s="10">
        <f t="shared" si="0"/>
        <v>0</v>
      </c>
      <c r="J16" s="10" t="e">
        <f>SIN(RADIANS(E16))</f>
        <v>#NUM!</v>
      </c>
      <c r="K16" s="14" t="e">
        <f>COS(RADIANS(E16))</f>
        <v>#NUM!</v>
      </c>
      <c r="L16" s="15"/>
      <c r="M16" s="5" t="s">
        <v>26</v>
      </c>
      <c r="N16" s="5" t="e">
        <f>INDEX(F15:K18,3,3)*INDEX(F15:K18,2,1)*INDEX(F15:K18,3,5)-INDEX(F15:K18,4,4)*INDEX(F15:K18,3,1)*INDEX(F15:K18,2,1)*INDEX(F15:K18,3,6)+INDEX(F15:K18,4,4)*INDEX(F15:K18,2,1)*INDEX(F15:K18,3,2)+INDEX(F15:K18,3,4)*INDEX(F15:K18,2,2)</f>
        <v>#NUM!</v>
      </c>
      <c r="O16" s="19">
        <f t="shared" si="1"/>
        <v>16</v>
      </c>
      <c r="P16" s="5" t="s">
        <v>22</v>
      </c>
      <c r="Q16" s="5" t="e">
        <f>N14^2+N15^2+N16^2+INDEX(F15:K18,2,3)^2+INDEX(F15:K18,2,4)^2+2*INDEX(F15:K18,2,4)*N16</f>
        <v>#NUM!</v>
      </c>
    </row>
    <row r="17" spans="1:21" x14ac:dyDescent="0.25">
      <c r="A17" s="12">
        <v>3</v>
      </c>
      <c r="B17" s="22">
        <v>0</v>
      </c>
      <c r="C17" s="22">
        <v>0</v>
      </c>
      <c r="D17" s="22">
        <v>0</v>
      </c>
      <c r="E17" s="35" t="e">
        <f>I10</f>
        <v>#NUM!</v>
      </c>
      <c r="F17" s="10">
        <f>SIN(RADIANS(B17))</f>
        <v>0</v>
      </c>
      <c r="G17" s="10">
        <f>COS(RADIANS(B17))</f>
        <v>1</v>
      </c>
      <c r="H17" s="10">
        <f t="shared" si="0"/>
        <v>0</v>
      </c>
      <c r="I17" s="10">
        <f t="shared" si="0"/>
        <v>0</v>
      </c>
      <c r="J17" s="10" t="e">
        <f>SIN(RADIANS(E17))</f>
        <v>#NUM!</v>
      </c>
      <c r="K17" s="14" t="e">
        <f>COS(RADIANS(E17))</f>
        <v>#NUM!</v>
      </c>
      <c r="L17" s="15"/>
      <c r="M17" s="5" t="s">
        <v>27</v>
      </c>
      <c r="N17" s="5" t="e">
        <f>INDEX(F15:K18,2,6)*N14-INDEX(F15:K18,2,5)*N15+INDEX(F15:K18,1,3)</f>
        <v>#NUM!</v>
      </c>
      <c r="O17" s="19">
        <f t="shared" si="1"/>
        <v>17</v>
      </c>
      <c r="P17" s="5" t="s">
        <v>23</v>
      </c>
      <c r="Q17" s="5" t="e">
        <f>N16*INDEX(F15:K18,1,2)+INDEX(F15:K18,2,4)*INDEX(F15:K18,1,2)</f>
        <v>#NUM!</v>
      </c>
    </row>
    <row r="18" spans="1:21" x14ac:dyDescent="0.25">
      <c r="A18" s="12">
        <v>4</v>
      </c>
      <c r="B18" s="22">
        <v>0</v>
      </c>
      <c r="C18" s="22">
        <v>0</v>
      </c>
      <c r="D18" s="22">
        <v>0</v>
      </c>
      <c r="E18" s="35">
        <v>0</v>
      </c>
      <c r="F18" s="10">
        <f>SIN(RADIANS(B18))</f>
        <v>0</v>
      </c>
      <c r="G18" s="10">
        <f>COS(RADIANS(B18))</f>
        <v>1</v>
      </c>
      <c r="H18" s="10">
        <f t="shared" si="0"/>
        <v>0</v>
      </c>
      <c r="I18" s="10">
        <f t="shared" si="0"/>
        <v>0</v>
      </c>
      <c r="J18" s="10">
        <f>SIN(RADIANS(E18))</f>
        <v>0</v>
      </c>
      <c r="K18" s="14">
        <f>COS(RADIANS(E18))</f>
        <v>1</v>
      </c>
      <c r="L18" s="15"/>
      <c r="M18" s="5" t="s">
        <v>28</v>
      </c>
      <c r="N18" s="5" t="e">
        <f>INDEX(F15:K18,2,5)*INDEX(F15:K18,1,2)*N14+INDEX(F15:K18,2,6)*INDEX(F15:K18,1,2)*N15-INDEX(F15:K18,1,1)*N16-INDEX(F15:K18,2,4)*INDEX(F15:K18,1,1)</f>
        <v>#NUM!</v>
      </c>
      <c r="O18" s="19">
        <f t="shared" si="1"/>
        <v>18</v>
      </c>
      <c r="P18" s="5" t="s">
        <v>30</v>
      </c>
      <c r="Q18" s="5" t="e">
        <f>IF(ABS(INDEX(F15:K18,1,3))&gt;0.001,(Q14*INDEX(F15:K18,2,6)+Q15*INDEX(F15:K18,2,5))*2*INDEX(F15:K18,1,3)+Q16,Q16)</f>
        <v>#NUM!</v>
      </c>
    </row>
    <row r="19" spans="1:21" x14ac:dyDescent="0.25">
      <c r="E19" s="37"/>
      <c r="L19" s="15"/>
      <c r="M19" s="5" t="s">
        <v>29</v>
      </c>
      <c r="N19" s="5" t="e">
        <f>INDEX(F15:K18,2,5)*INDEX(F15:K18,1,1)*N14+INDEX(F15:K18,2,6)*INDEX(F15:K18,1,1)*N15+INDEX(F15:K18,1,2)*N16+INDEX(F15:K18,2,4)*INDEX(F15:K18,1,2)</f>
        <v>#NUM!</v>
      </c>
      <c r="O19" s="19">
        <f t="shared" si="1"/>
        <v>19</v>
      </c>
      <c r="P19" s="5" t="s">
        <v>31</v>
      </c>
      <c r="Q19" s="5" t="e">
        <f>IF(ABS(INDEX(F15:K18,1,1))&gt;0.001,(Q14*INDEX(F15:K18,2,5)-Q15*INDEX(F15:K18,2,6))*INDEX(F15:K18,1,1)+Q17,Q17)</f>
        <v>#NUM!</v>
      </c>
    </row>
    <row r="20" spans="1:21" s="3" customFormat="1" x14ac:dyDescent="0.25">
      <c r="A20"/>
      <c r="B20"/>
      <c r="C20"/>
      <c r="D20"/>
      <c r="E20" s="1"/>
      <c r="F20" s="1"/>
      <c r="I20" s="16" t="s">
        <v>74</v>
      </c>
      <c r="J20" s="2"/>
      <c r="K20" s="2"/>
      <c r="L20" s="15"/>
      <c r="M20" s="5"/>
      <c r="N20" s="5"/>
      <c r="O20" s="19">
        <f t="shared" si="1"/>
        <v>20</v>
      </c>
      <c r="P20" s="5" t="s">
        <v>38</v>
      </c>
      <c r="Q20" s="5">
        <f>N9^2+O9^2+P9^2</f>
        <v>6.3742135623730949</v>
      </c>
      <c r="T20" s="16" t="s">
        <v>71</v>
      </c>
    </row>
    <row r="21" spans="1:21" x14ac:dyDescent="0.25">
      <c r="H21" s="20"/>
      <c r="I21" s="21"/>
      <c r="J21" s="21"/>
      <c r="L21" s="15"/>
      <c r="O21" s="19">
        <f t="shared" si="1"/>
        <v>21</v>
      </c>
      <c r="P21" s="5" t="s">
        <v>39</v>
      </c>
      <c r="Q21" s="1">
        <f>P9</f>
        <v>1.7071067811865475</v>
      </c>
      <c r="S21" s="20"/>
      <c r="T21" s="21"/>
      <c r="U21" s="21"/>
    </row>
    <row r="22" spans="1:21" ht="18.75" x14ac:dyDescent="0.35">
      <c r="B22" s="2"/>
      <c r="C22" s="2"/>
      <c r="D22" s="40" t="s">
        <v>70</v>
      </c>
      <c r="H22" s="33" t="s">
        <v>56</v>
      </c>
      <c r="I22" s="32" t="s">
        <v>61</v>
      </c>
      <c r="J22" s="9" t="s">
        <v>62</v>
      </c>
      <c r="K22" s="34" t="s">
        <v>57</v>
      </c>
      <c r="L22" s="15"/>
      <c r="M22" s="28" t="s">
        <v>14</v>
      </c>
      <c r="N22" s="28" t="str">
        <f>IF(ABS(INDEX(F15:K18,1,3))&gt;0.001,IF(ABS(INDEX(F15:K18,1,1))&gt;0.001,(Q18-Q16)^2/4/INDEX(F15:K18,1,3)^2+(Q19-Q17)^2/INDEX(F15:K18,1,1)^2,"NA"),"NA")</f>
        <v>NA</v>
      </c>
      <c r="O22"/>
      <c r="P22" s="28" t="s">
        <v>15</v>
      </c>
      <c r="Q22" s="28" t="e">
        <f>Q14^2+Q15^2</f>
        <v>#NUM!</v>
      </c>
      <c r="S22" s="33" t="s">
        <v>56</v>
      </c>
      <c r="T22" s="9" t="s">
        <v>62</v>
      </c>
      <c r="U22" s="32" t="s">
        <v>61</v>
      </c>
    </row>
    <row r="23" spans="1:21" x14ac:dyDescent="0.25">
      <c r="B23" s="16" t="s">
        <v>67</v>
      </c>
      <c r="C23" s="38" t="s">
        <v>68</v>
      </c>
      <c r="D23" s="41" t="s">
        <v>69</v>
      </c>
      <c r="E23" s="39" t="s">
        <v>34</v>
      </c>
      <c r="F23" s="28"/>
      <c r="H23" s="30" t="s">
        <v>55</v>
      </c>
      <c r="I23" s="5" t="s">
        <v>76</v>
      </c>
      <c r="J23" s="5" t="s">
        <v>75</v>
      </c>
      <c r="K23" s="5" t="s">
        <v>60</v>
      </c>
      <c r="R23" s="29"/>
      <c r="S23" s="30" t="s">
        <v>55</v>
      </c>
      <c r="T23" s="5" t="s">
        <v>72</v>
      </c>
      <c r="U23" s="5" t="s">
        <v>73</v>
      </c>
    </row>
    <row r="24" spans="1:21" x14ac:dyDescent="0.25">
      <c r="B24" s="43">
        <v>0</v>
      </c>
      <c r="C24" s="43">
        <v>0</v>
      </c>
      <c r="D24" s="44">
        <v>0</v>
      </c>
      <c r="E24" s="27">
        <f>B$24+(C$24-B$24)/10*D24</f>
        <v>0</v>
      </c>
      <c r="F24" s="28"/>
      <c r="H24" s="30" t="s">
        <v>50</v>
      </c>
      <c r="I24" s="31" t="e">
        <f>-Q15</f>
        <v>#NUM!</v>
      </c>
      <c r="J24" s="31" t="e">
        <f>Q14</f>
        <v>#NUM!</v>
      </c>
      <c r="K24" s="1"/>
      <c r="R24" s="28"/>
      <c r="S24" s="30" t="s">
        <v>50</v>
      </c>
      <c r="T24" s="45">
        <f>-INDEX(F15:K18,4,4)*INDEX(F15:K18,3,1)*INDEX(F15:K18,2,1)</f>
        <v>0</v>
      </c>
    </row>
    <row r="25" spans="1:21" x14ac:dyDescent="0.25">
      <c r="B25" s="2"/>
      <c r="C25" s="2"/>
      <c r="D25" s="2"/>
      <c r="E25" s="24"/>
      <c r="H25" s="30" t="s">
        <v>51</v>
      </c>
      <c r="I25" s="31" t="e">
        <f>Q14</f>
        <v>#NUM!</v>
      </c>
      <c r="J25" s="31" t="e">
        <f>Q15</f>
        <v>#NUM!</v>
      </c>
      <c r="K25" s="1"/>
      <c r="N25" s="22">
        <v>-90</v>
      </c>
      <c r="O25" s="22">
        <v>0</v>
      </c>
      <c r="P25" s="22">
        <v>0</v>
      </c>
      <c r="S25" s="30" t="s">
        <v>51</v>
      </c>
      <c r="T25" s="31">
        <f>INDEX(F15:K18,3,3)*INDEX(F15:K18,2,1)</f>
        <v>0</v>
      </c>
    </row>
    <row r="26" spans="1:21" x14ac:dyDescent="0.25">
      <c r="B26" s="2"/>
      <c r="C26" s="2"/>
      <c r="D26" s="2"/>
      <c r="H26" s="30" t="s">
        <v>52</v>
      </c>
      <c r="I26" s="31" t="str">
        <f>IF(ABS(F15)&lt;0.0001, "NA",(Q21-Q17)/F15)</f>
        <v>NA</v>
      </c>
      <c r="J26" s="31" t="e">
        <f>IF(ABS(Q15)&lt;0.0001, "NA",(Q20-Q16)/(2*H15))</f>
        <v>#NUM!</v>
      </c>
      <c r="K26" s="1"/>
      <c r="N26" s="22">
        <v>45</v>
      </c>
      <c r="O26" s="22">
        <v>0</v>
      </c>
      <c r="P26" s="22">
        <v>1</v>
      </c>
      <c r="R26" s="29"/>
      <c r="S26" s="30" t="s">
        <v>52</v>
      </c>
      <c r="T26" s="31">
        <f>P9-INDEX(F15:K18,4,4)*INDEX(F15:K18,2,2)*INDEX(F15:K18,3,2)-INDEX(F15:K18,3,4)*INDEX(F15:K18,2,2)-INDEX(F15:K18,2,4)</f>
        <v>1.7071067811865475</v>
      </c>
    </row>
    <row r="27" spans="1:21" x14ac:dyDescent="0.25">
      <c r="H27" s="30" t="s">
        <v>54</v>
      </c>
      <c r="I27" s="31" t="e">
        <f>IF(ABS(I24^2+I25^2-I26^2)&lt;0.0001,0,SQRT(I24^2+I25^2-I26^2))</f>
        <v>#NUM!</v>
      </c>
      <c r="J27" s="31" t="e">
        <f>IF(ABS(J24^2+J25^2-J26^2)&lt;0,0,SQRT(J24^2+J25^2-J26^2))</f>
        <v>#NUM!</v>
      </c>
      <c r="K27" s="1"/>
      <c r="N27" s="22">
        <v>0</v>
      </c>
      <c r="O27" s="22">
        <v>1</v>
      </c>
      <c r="P27" s="22">
        <v>1</v>
      </c>
      <c r="S27" s="30" t="s">
        <v>54</v>
      </c>
      <c r="T27" s="31" t="e">
        <f>IF(ABS(T24^2+T25^2-T26^2)&lt;0.0001,0,SQRT(T24^2+T25^2-T26^2))</f>
        <v>#NUM!</v>
      </c>
    </row>
    <row r="28" spans="1:21" x14ac:dyDescent="0.25">
      <c r="H28" s="30" t="s">
        <v>53</v>
      </c>
      <c r="I28" s="31" t="str">
        <f>IF(ABS(F15)&lt;0.0001, "NA",(I25+I27)/(I24+I26))</f>
        <v>NA</v>
      </c>
      <c r="J28" s="31" t="e">
        <f>IF(ABS(J24+J26)&lt;0.0001, "NA",(J25+J27)/(J24+J26))</f>
        <v>#NUM!</v>
      </c>
      <c r="K28" s="1"/>
      <c r="N28" s="22">
        <v>0</v>
      </c>
      <c r="O28" s="22">
        <v>0</v>
      </c>
      <c r="P28" s="22">
        <v>0</v>
      </c>
      <c r="S28" s="30" t="s">
        <v>53</v>
      </c>
      <c r="T28" s="31" t="e">
        <f>IF(ABS(F15)&gt;0.0001, "NA",(T25+T27)/(T24+T26))</f>
        <v>#NUM!</v>
      </c>
    </row>
    <row r="29" spans="1:21" x14ac:dyDescent="0.25">
      <c r="H29" s="16" t="s">
        <v>35</v>
      </c>
      <c r="I29" s="42" t="str">
        <f>IF(ABS(F15)&lt;0.0001, "NA", DEGREES(2*ATAN(I28)))</f>
        <v>NA</v>
      </c>
      <c r="J29" s="42" t="e">
        <f>IF(J28="NA",J28, DEGREES(2*ATAN(J28)))</f>
        <v>#NUM!</v>
      </c>
      <c r="K29" s="27" t="e">
        <f>DEGREES(ASIN((J24*I26+I24*J26)/(J24*I25+I24*J25)))</f>
        <v>#NUM!</v>
      </c>
      <c r="S29" s="16" t="s">
        <v>34</v>
      </c>
      <c r="T29" s="42" t="e">
        <f>IF(ABS(F15)&gt;0.0001, "NA", DEGREES(2*ATAN(T28)))</f>
        <v>#NUM!</v>
      </c>
      <c r="U29" s="42" t="e">
        <f>IF(J28="NA",J28, DEGREES(2*ATAN(J28)))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3" workbookViewId="0">
      <selection activeCell="J27" sqref="J27"/>
    </sheetView>
  </sheetViews>
  <sheetFormatPr defaultRowHeight="15" x14ac:dyDescent="0.25"/>
  <cols>
    <col min="1" max="4" width="8.7109375" customWidth="1"/>
    <col min="5" max="5" width="9.42578125" style="1" customWidth="1"/>
    <col min="6" max="6" width="8.5703125" style="1" customWidth="1"/>
    <col min="7" max="7" width="8.7109375" style="2" customWidth="1"/>
    <col min="8" max="8" width="9.28515625" style="2" customWidth="1"/>
    <col min="9" max="15" width="8.7109375" style="2" customWidth="1"/>
    <col min="16" max="16" width="8.7109375" style="1" customWidth="1"/>
    <col min="17" max="17" width="8.42578125" style="1" customWidth="1"/>
  </cols>
  <sheetData>
    <row r="1" spans="1:17" x14ac:dyDescent="0.25">
      <c r="I1" s="2" t="s">
        <v>36</v>
      </c>
    </row>
    <row r="2" spans="1:17" x14ac:dyDescent="0.25">
      <c r="H2" s="2" t="s">
        <v>43</v>
      </c>
    </row>
    <row r="3" spans="1:17" x14ac:dyDescent="0.25">
      <c r="H3" s="2" t="s">
        <v>49</v>
      </c>
    </row>
    <row r="5" spans="1:17" x14ac:dyDescent="0.25">
      <c r="E5" s="4" t="s">
        <v>44</v>
      </c>
    </row>
    <row r="6" spans="1:17" x14ac:dyDescent="0.25">
      <c r="E6" t="s">
        <v>45</v>
      </c>
    </row>
    <row r="7" spans="1:17" ht="18" x14ac:dyDescent="0.25">
      <c r="E7"/>
      <c r="M7" s="23"/>
      <c r="N7" s="8"/>
      <c r="O7" s="18" t="s">
        <v>16</v>
      </c>
      <c r="P7" s="7"/>
    </row>
    <row r="8" spans="1:17" ht="18" x14ac:dyDescent="0.25">
      <c r="E8" s="46" t="s">
        <v>46</v>
      </c>
      <c r="F8" s="4" t="s">
        <v>77</v>
      </c>
      <c r="M8" s="24"/>
      <c r="N8" s="17" t="s">
        <v>17</v>
      </c>
      <c r="O8" s="17" t="s">
        <v>18</v>
      </c>
      <c r="P8" s="17" t="s">
        <v>19</v>
      </c>
      <c r="Q8" s="1" t="s">
        <v>40</v>
      </c>
    </row>
    <row r="9" spans="1:17" x14ac:dyDescent="0.25">
      <c r="E9" s="47" t="s">
        <v>47</v>
      </c>
      <c r="F9" s="4" t="s">
        <v>78</v>
      </c>
      <c r="I9" s="16" t="s">
        <v>34</v>
      </c>
      <c r="J9" s="16" t="s">
        <v>35</v>
      </c>
      <c r="K9" s="16" t="s">
        <v>33</v>
      </c>
      <c r="M9" s="25" t="s">
        <v>37</v>
      </c>
      <c r="N9" s="22">
        <v>1.1000000000000001</v>
      </c>
      <c r="O9" s="22">
        <v>1.5</v>
      </c>
      <c r="P9" s="22">
        <f>1+1/SQRT(2)</f>
        <v>1.7071067811865475</v>
      </c>
    </row>
    <row r="10" spans="1:17" x14ac:dyDescent="0.25">
      <c r="E10" s="48" t="s">
        <v>48</v>
      </c>
      <c r="F10" s="4" t="s">
        <v>32</v>
      </c>
      <c r="I10" s="26">
        <f>IF(ABS(F15)&lt;0.0001,T29,E24)</f>
        <v>135.00000000000003</v>
      </c>
      <c r="J10" s="26" t="e">
        <f>IF(ABS(SIN(F15)&lt;0.001),J29,IF(   ABS(SIN(H15)&lt;0.001),I29,"NA"      ))</f>
        <v>#VALUE!</v>
      </c>
      <c r="K10" s="26" t="e">
        <f>IF(ABS(N17)&lt;0.0001,DEGREES(ASIN(-N9/N18)),IF(ABS(N18)&lt;0.0001,DEGREES(ASIN(O9/N17)),DEGREES(ASIN((N17*O9-N18*N9)/(N17^2-N18^2)))))</f>
        <v>#VALUE!</v>
      </c>
      <c r="M10" s="25" t="s">
        <v>32</v>
      </c>
      <c r="N10" s="27" t="e">
        <f>INDEX(F15:K18,1,6)*N17-INDEX(F15:K18,1,5)*N18</f>
        <v>#VALUE!</v>
      </c>
      <c r="O10" s="27" t="e">
        <f>INDEX(F15:K18,1,5)*N17+INDEX(F15:K18,1,6)*N18</f>
        <v>#VALUE!</v>
      </c>
      <c r="P10" s="27" t="e">
        <f>N19</f>
        <v>#VALUE!</v>
      </c>
      <c r="Q10" s="1" t="e">
        <f>((N9-N10)^2+(O9-O10)^2+(P9-P10)^2)/(N9^2+O9^2+P9^2)*100</f>
        <v>#VALUE!</v>
      </c>
    </row>
    <row r="11" spans="1:17" x14ac:dyDescent="0.25">
      <c r="A11" s="2"/>
      <c r="B11" s="2"/>
      <c r="C11" s="2"/>
      <c r="D11" s="2"/>
      <c r="E11" s="2"/>
      <c r="G11" s="1"/>
      <c r="H11" s="1"/>
      <c r="I11"/>
      <c r="J11"/>
      <c r="K11"/>
      <c r="L11"/>
      <c r="Q11" t="s">
        <v>41</v>
      </c>
    </row>
    <row r="12" spans="1:17" x14ac:dyDescent="0.25">
      <c r="A12" s="2"/>
      <c r="B12" s="1" t="s">
        <v>4</v>
      </c>
      <c r="C12" s="1"/>
      <c r="E12"/>
      <c r="G12" s="1"/>
      <c r="H12"/>
      <c r="I12"/>
      <c r="J12"/>
      <c r="K12"/>
      <c r="L12"/>
    </row>
    <row r="13" spans="1:17" x14ac:dyDescent="0.25">
      <c r="A13" s="2"/>
      <c r="B13" s="6" t="s">
        <v>6</v>
      </c>
      <c r="C13" s="6" t="s">
        <v>5</v>
      </c>
      <c r="D13" s="11" t="s">
        <v>7</v>
      </c>
      <c r="E13" s="6" t="s">
        <v>8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/>
      <c r="O13" s="2" t="s">
        <v>42</v>
      </c>
    </row>
    <row r="14" spans="1:17" ht="18.75" x14ac:dyDescent="0.25">
      <c r="A14" s="13" t="s">
        <v>9</v>
      </c>
      <c r="B14" s="9" t="s">
        <v>1</v>
      </c>
      <c r="C14" s="9" t="s">
        <v>2</v>
      </c>
      <c r="D14" s="9" t="s">
        <v>3</v>
      </c>
      <c r="E14" s="36" t="s">
        <v>0</v>
      </c>
      <c r="F14" s="9" t="s">
        <v>11</v>
      </c>
      <c r="G14" s="9" t="s">
        <v>10</v>
      </c>
      <c r="H14" s="9" t="s">
        <v>2</v>
      </c>
      <c r="I14" s="9" t="s">
        <v>3</v>
      </c>
      <c r="J14" s="9" t="s">
        <v>12</v>
      </c>
      <c r="K14" s="14" t="s">
        <v>13</v>
      </c>
      <c r="M14" s="5" t="s">
        <v>24</v>
      </c>
      <c r="N14" s="5">
        <f>INDEX(F15:K18,3,3)*INDEX(F15:K18,3,6)+INDEX(F15:K18,4,4)*INDEX(F15:K18,3,1)*INDEX(F15:K18,3,5)+INDEX(F15:K18,2,3)</f>
        <v>-1.0000000000000004</v>
      </c>
      <c r="O14" s="19">
        <f>ROW(Q14)</f>
        <v>14</v>
      </c>
      <c r="P14" s="5" t="s">
        <v>20</v>
      </c>
      <c r="Q14" s="5">
        <f>N14</f>
        <v>-1.0000000000000004</v>
      </c>
    </row>
    <row r="15" spans="1:17" x14ac:dyDescent="0.25">
      <c r="A15" s="12">
        <v>1</v>
      </c>
      <c r="B15" s="22">
        <v>0</v>
      </c>
      <c r="C15" s="22">
        <v>1</v>
      </c>
      <c r="D15" s="22">
        <v>0</v>
      </c>
      <c r="E15" s="35" t="e">
        <f>K10</f>
        <v>#VALUE!</v>
      </c>
      <c r="F15" s="10">
        <f>SIN(RADIANS(B15))</f>
        <v>0</v>
      </c>
      <c r="G15" s="10">
        <f>COS(RADIANS(B15))</f>
        <v>1</v>
      </c>
      <c r="H15" s="10">
        <f t="shared" ref="H15:I18" si="0">C15</f>
        <v>1</v>
      </c>
      <c r="I15" s="10">
        <f t="shared" si="0"/>
        <v>0</v>
      </c>
      <c r="J15" s="10" t="e">
        <f>SIN(RADIANS(E15))</f>
        <v>#VALUE!</v>
      </c>
      <c r="K15" s="14" t="e">
        <f>COS(RADIANS(E15))</f>
        <v>#VALUE!</v>
      </c>
      <c r="L15" s="15"/>
      <c r="M15" s="5" t="s">
        <v>25</v>
      </c>
      <c r="N15" s="5">
        <f>INDEX(F15:K18,3,3)*INDEX(F15:K18,2,2)*INDEX(F15:K18,3,5)-INDEX(F15:K18,4,4)*INDEX(F15:K18,3,1)*INDEX(F15:K18,2,2)*INDEX(F15:K18,3,6)-INDEX(F15:K18,4,4)*INDEX(F15:K18,2,1)*INDEX(F15:K18,3,2)-INDEX(F15:K18,3,4)*INDEX(F15:K18,2,1)</f>
        <v>-0.29289321881345265</v>
      </c>
      <c r="O15" s="19">
        <f t="shared" ref="O15:O21" si="1">ROW(Q15)</f>
        <v>15</v>
      </c>
      <c r="P15" s="5" t="s">
        <v>21</v>
      </c>
      <c r="Q15" s="5">
        <f>-N15</f>
        <v>0.29289321881345265</v>
      </c>
    </row>
    <row r="16" spans="1:17" x14ac:dyDescent="0.25">
      <c r="A16" s="12">
        <v>2</v>
      </c>
      <c r="B16" s="22">
        <v>45</v>
      </c>
      <c r="C16" s="22">
        <v>0</v>
      </c>
      <c r="D16" s="22">
        <v>0</v>
      </c>
      <c r="E16" s="35" t="e">
        <f>J10</f>
        <v>#VALUE!</v>
      </c>
      <c r="F16" s="10">
        <f>SIN(RADIANS(B16))</f>
        <v>0.70710678118654746</v>
      </c>
      <c r="G16" s="10">
        <f>COS(RADIANS(B16))</f>
        <v>0.70710678118654757</v>
      </c>
      <c r="H16" s="10">
        <f t="shared" si="0"/>
        <v>0</v>
      </c>
      <c r="I16" s="10">
        <f t="shared" si="0"/>
        <v>0</v>
      </c>
      <c r="J16" s="10" t="e">
        <f>SIN(RADIANS(E16))</f>
        <v>#VALUE!</v>
      </c>
      <c r="K16" s="14" t="e">
        <f>COS(RADIANS(E16))</f>
        <v>#VALUE!</v>
      </c>
      <c r="L16" s="15"/>
      <c r="M16" s="5" t="s">
        <v>26</v>
      </c>
      <c r="N16" s="5">
        <f>INDEX(F15:K18,3,3)*INDEX(F15:K18,2,1)*INDEX(F15:K18,3,5)-INDEX(F15:K18,4,4)*INDEX(F15:K18,3,1)*INDEX(F15:K18,2,1)*INDEX(F15:K18,3,6)+INDEX(F15:K18,4,4)*INDEX(F15:K18,2,1)*INDEX(F15:K18,3,2)+INDEX(F15:K18,3,4)*INDEX(F15:K18,2,2)</f>
        <v>1.7071067811865475</v>
      </c>
      <c r="O16" s="19">
        <f t="shared" si="1"/>
        <v>16</v>
      </c>
      <c r="P16" s="5" t="s">
        <v>22</v>
      </c>
      <c r="Q16" s="5">
        <f>N14^2+N15^2+N16^2+INDEX(F15:K18,2,3)^2+INDEX(F15:K18,2,4)^2+2*INDEX(F15:K18,2,4)*N16</f>
        <v>4.0000000000000009</v>
      </c>
    </row>
    <row r="17" spans="1:21" x14ac:dyDescent="0.25">
      <c r="A17" s="12">
        <v>3</v>
      </c>
      <c r="B17" s="22">
        <v>0</v>
      </c>
      <c r="C17" s="22">
        <f>SQRT(2)</f>
        <v>1.4142135623730951</v>
      </c>
      <c r="D17" s="22">
        <f>SQRT(2)</f>
        <v>1.4142135623730951</v>
      </c>
      <c r="E17" s="35">
        <f>I10</f>
        <v>135.00000000000003</v>
      </c>
      <c r="F17" s="10">
        <f>SIN(RADIANS(B17))</f>
        <v>0</v>
      </c>
      <c r="G17" s="10">
        <f>COS(RADIANS(B17))</f>
        <v>1</v>
      </c>
      <c r="H17" s="10">
        <f t="shared" si="0"/>
        <v>1.4142135623730951</v>
      </c>
      <c r="I17" s="10">
        <f t="shared" si="0"/>
        <v>1.4142135623730951</v>
      </c>
      <c r="J17" s="10">
        <f>SIN(RADIANS(E17))</f>
        <v>0.70710678118654724</v>
      </c>
      <c r="K17" s="14">
        <f>COS(RADIANS(E17))</f>
        <v>-0.70710678118654779</v>
      </c>
      <c r="L17" s="15"/>
      <c r="M17" s="5" t="s">
        <v>27</v>
      </c>
      <c r="N17" s="5" t="e">
        <f>INDEX(F15:K18,2,6)*N14-INDEX(F15:K18,2,5)*N15+INDEX(F15:K18,1,3)</f>
        <v>#VALUE!</v>
      </c>
      <c r="O17" s="19">
        <f t="shared" si="1"/>
        <v>17</v>
      </c>
      <c r="P17" s="5" t="s">
        <v>23</v>
      </c>
      <c r="Q17" s="5">
        <f>N16*INDEX(F15:K18,1,2)+INDEX(F15:K18,2,4)*INDEX(F15:K18,1,2)</f>
        <v>1.7071067811865475</v>
      </c>
    </row>
    <row r="18" spans="1:21" x14ac:dyDescent="0.25">
      <c r="A18" s="12">
        <v>4</v>
      </c>
      <c r="B18" s="22">
        <v>0</v>
      </c>
      <c r="C18" s="22">
        <v>0</v>
      </c>
      <c r="D18" s="22">
        <v>0</v>
      </c>
      <c r="E18" s="35">
        <v>0</v>
      </c>
      <c r="F18" s="10">
        <f>SIN(RADIANS(B18))</f>
        <v>0</v>
      </c>
      <c r="G18" s="10">
        <f>COS(RADIANS(B18))</f>
        <v>1</v>
      </c>
      <c r="H18" s="10">
        <f t="shared" si="0"/>
        <v>0</v>
      </c>
      <c r="I18" s="10">
        <f t="shared" si="0"/>
        <v>0</v>
      </c>
      <c r="J18" s="10">
        <f>SIN(RADIANS(E18))</f>
        <v>0</v>
      </c>
      <c r="K18" s="14">
        <f>COS(RADIANS(E18))</f>
        <v>1</v>
      </c>
      <c r="L18" s="15"/>
      <c r="M18" s="5" t="s">
        <v>28</v>
      </c>
      <c r="N18" s="5" t="e">
        <f>INDEX(F15:K18,2,5)*INDEX(F15:K18,1,2)*N14+INDEX(F15:K18,2,6)*INDEX(F15:K18,1,2)*N15-INDEX(F15:K18,1,1)*N16-INDEX(F15:K18,2,4)*INDEX(F15:K18,1,1)</f>
        <v>#VALUE!</v>
      </c>
      <c r="O18" s="19">
        <f t="shared" si="1"/>
        <v>18</v>
      </c>
      <c r="P18" s="5" t="s">
        <v>30</v>
      </c>
      <c r="Q18" s="5" t="e">
        <f>IF(ABS(INDEX(F15:K18,1,3))&gt;0.001,(Q14*INDEX(F15:K18,2,6)+Q15*INDEX(F15:K18,2,5))*2*INDEX(F15:K18,1,3)+Q16,Q16)</f>
        <v>#VALUE!</v>
      </c>
    </row>
    <row r="19" spans="1:21" x14ac:dyDescent="0.25">
      <c r="E19" s="37"/>
      <c r="L19" s="15"/>
      <c r="M19" s="5" t="s">
        <v>29</v>
      </c>
      <c r="N19" s="5" t="e">
        <f>INDEX(F15:K18,2,5)*INDEX(F15:K18,1,1)*N14+INDEX(F15:K18,2,6)*INDEX(F15:K18,1,1)*N15+INDEX(F15:K18,1,2)*N16+INDEX(F15:K18,2,4)*INDEX(F15:K18,1,2)</f>
        <v>#VALUE!</v>
      </c>
      <c r="O19" s="19">
        <f t="shared" si="1"/>
        <v>19</v>
      </c>
      <c r="P19" s="5" t="s">
        <v>31</v>
      </c>
      <c r="Q19" s="5">
        <f>IF(ABS(INDEX(F15:K18,1,1))&gt;0.001,(Q14*INDEX(F15:K18,2,5)-Q15*INDEX(F15:K18,2,6))*INDEX(F15:K18,1,1)+Q17,Q17)</f>
        <v>1.7071067811865475</v>
      </c>
    </row>
    <row r="20" spans="1:21" s="3" customFormat="1" x14ac:dyDescent="0.25">
      <c r="A20"/>
      <c r="B20"/>
      <c r="C20"/>
      <c r="D20"/>
      <c r="E20" s="1"/>
      <c r="F20" s="1"/>
      <c r="I20" s="16" t="s">
        <v>74</v>
      </c>
      <c r="J20" s="2"/>
      <c r="K20" s="2"/>
      <c r="L20" s="15"/>
      <c r="M20" s="5"/>
      <c r="N20" s="5"/>
      <c r="O20" s="19">
        <f t="shared" si="1"/>
        <v>20</v>
      </c>
      <c r="P20" s="5" t="s">
        <v>38</v>
      </c>
      <c r="Q20" s="5">
        <f>N9^2+O9^2+P9^2</f>
        <v>6.3742135623730949</v>
      </c>
      <c r="T20" s="16" t="s">
        <v>71</v>
      </c>
    </row>
    <row r="21" spans="1:21" x14ac:dyDescent="0.25">
      <c r="H21" s="20"/>
      <c r="I21" s="21"/>
      <c r="J21" s="21"/>
      <c r="L21" s="15"/>
      <c r="O21" s="19">
        <f t="shared" si="1"/>
        <v>21</v>
      </c>
      <c r="P21" s="5" t="s">
        <v>39</v>
      </c>
      <c r="Q21" s="1">
        <f>P9</f>
        <v>1.7071067811865475</v>
      </c>
      <c r="S21" s="20"/>
      <c r="T21" s="21"/>
      <c r="U21" s="21"/>
    </row>
    <row r="22" spans="1:21" ht="18.75" x14ac:dyDescent="0.35">
      <c r="B22" s="2"/>
      <c r="C22" s="2"/>
      <c r="D22" s="40" t="s">
        <v>70</v>
      </c>
      <c r="H22" s="33" t="s">
        <v>56</v>
      </c>
      <c r="I22" s="32" t="s">
        <v>61</v>
      </c>
      <c r="J22" s="9" t="s">
        <v>62</v>
      </c>
      <c r="K22" s="34" t="s">
        <v>57</v>
      </c>
      <c r="L22" s="15"/>
      <c r="M22" s="28" t="s">
        <v>14</v>
      </c>
      <c r="N22" s="28" t="str">
        <f>IF(ABS(INDEX(F15:K18,1,3))&gt;0.001,IF(ABS(INDEX(F15:K18,1,1))&gt;0.001,(Q18-Q16)^2/4/INDEX(F15:K18,1,3)^2+(Q19-Q17)^2/INDEX(F15:K18,1,1)^2,"NA"),"NA")</f>
        <v>NA</v>
      </c>
      <c r="O22"/>
      <c r="P22" s="28" t="s">
        <v>15</v>
      </c>
      <c r="Q22" s="28">
        <f>Q14^2+Q15^2</f>
        <v>1.085786437626906</v>
      </c>
      <c r="S22" s="33" t="s">
        <v>56</v>
      </c>
      <c r="T22" s="9" t="s">
        <v>62</v>
      </c>
      <c r="U22" s="32" t="s">
        <v>61</v>
      </c>
    </row>
    <row r="23" spans="1:21" x14ac:dyDescent="0.25">
      <c r="B23" s="16" t="s">
        <v>67</v>
      </c>
      <c r="C23" s="38" t="s">
        <v>68</v>
      </c>
      <c r="D23" s="41" t="s">
        <v>69</v>
      </c>
      <c r="E23" s="39" t="s">
        <v>34</v>
      </c>
      <c r="F23" s="28"/>
      <c r="H23" s="30" t="s">
        <v>55</v>
      </c>
      <c r="I23" s="5" t="s">
        <v>76</v>
      </c>
      <c r="J23" s="5" t="s">
        <v>75</v>
      </c>
      <c r="K23" s="5" t="s">
        <v>60</v>
      </c>
      <c r="R23" s="29"/>
      <c r="S23" s="30" t="s">
        <v>55</v>
      </c>
      <c r="T23" s="5" t="s">
        <v>72</v>
      </c>
      <c r="U23" s="5" t="s">
        <v>73</v>
      </c>
    </row>
    <row r="24" spans="1:21" x14ac:dyDescent="0.25">
      <c r="B24" s="43">
        <v>0</v>
      </c>
      <c r="C24" s="43">
        <v>90</v>
      </c>
      <c r="D24" s="44">
        <v>5</v>
      </c>
      <c r="E24" s="27">
        <f>B$24+(C$24-B$24)/10*D24</f>
        <v>45</v>
      </c>
      <c r="F24" s="28"/>
      <c r="H24" s="30" t="s">
        <v>50</v>
      </c>
      <c r="I24" s="31">
        <f>-Q15</f>
        <v>-0.29289321881345265</v>
      </c>
      <c r="J24" s="31">
        <f>Q14</f>
        <v>-1.0000000000000004</v>
      </c>
      <c r="K24" s="1"/>
      <c r="R24" s="28"/>
      <c r="S24" s="30" t="s">
        <v>50</v>
      </c>
      <c r="T24" s="45">
        <f>-INDEX(F15:K18,4,4)*INDEX(F15:K18,3,1)*INDEX(F15:K18,2,1)</f>
        <v>0</v>
      </c>
    </row>
    <row r="25" spans="1:21" x14ac:dyDescent="0.25">
      <c r="B25" s="2"/>
      <c r="C25" s="2"/>
      <c r="D25" s="2"/>
      <c r="E25" s="24"/>
      <c r="H25" s="30" t="s">
        <v>51</v>
      </c>
      <c r="I25" s="31">
        <f>Q14</f>
        <v>-1.0000000000000004</v>
      </c>
      <c r="J25" s="31">
        <f>Q15</f>
        <v>0.29289321881345265</v>
      </c>
      <c r="K25" s="1"/>
      <c r="N25" s="22">
        <v>-90</v>
      </c>
      <c r="O25" s="22">
        <v>0</v>
      </c>
      <c r="P25" s="22">
        <v>0</v>
      </c>
      <c r="S25" s="30" t="s">
        <v>51</v>
      </c>
      <c r="T25" s="31">
        <f>INDEX(F15:K18,3,3)*INDEX(F15:K18,2,1)</f>
        <v>1</v>
      </c>
    </row>
    <row r="26" spans="1:21" x14ac:dyDescent="0.25">
      <c r="B26" s="2"/>
      <c r="C26" s="2"/>
      <c r="D26" s="2"/>
      <c r="H26" s="30" t="s">
        <v>52</v>
      </c>
      <c r="I26" s="31" t="str">
        <f>IF(ABS(F15)&lt;0.0001, "NA",(Q21-Q17)/F15)</f>
        <v>NA</v>
      </c>
      <c r="J26" s="31">
        <f>IF(ABS(Q15)&lt;0.0001, "NA",(Q20-Q16)/(2*H15))</f>
        <v>1.187106781186547</v>
      </c>
      <c r="K26" s="1"/>
      <c r="N26" s="22">
        <v>45</v>
      </c>
      <c r="O26" s="22">
        <v>0</v>
      </c>
      <c r="P26" s="22">
        <v>1</v>
      </c>
      <c r="R26" s="29"/>
      <c r="S26" s="30" t="s">
        <v>52</v>
      </c>
      <c r="T26" s="31">
        <f>P9-INDEX(F15:K18,4,4)*INDEX(F15:K18,2,2)*INDEX(F15:K18,3,2)-INDEX(F15:K18,3,4)*INDEX(F15:K18,2,2)-INDEX(F15:K18,2,4)</f>
        <v>0.70710678118654724</v>
      </c>
    </row>
    <row r="27" spans="1:21" x14ac:dyDescent="0.25">
      <c r="H27" s="30" t="s">
        <v>54</v>
      </c>
      <c r="I27" s="31" t="e">
        <f>IF(ABS(I24^2+I25^2-I26^2)&lt;0.0001,0,SQRT(I24^2+I25^2-I26^2))</f>
        <v>#VALUE!</v>
      </c>
      <c r="J27" s="31" t="str">
        <f>IF((J24^2+J25^2-J26^2)&gt;0.0001,SQRT(J24^2+J25^2-J26^2),"NA")</f>
        <v>NA</v>
      </c>
      <c r="K27" s="1">
        <f>J24^2+J25^2-J26^2</f>
        <v>-0.32343607231217852</v>
      </c>
      <c r="N27" s="22">
        <v>0</v>
      </c>
      <c r="O27" s="22">
        <v>1</v>
      </c>
      <c r="P27" s="22">
        <v>1</v>
      </c>
      <c r="S27" s="30" t="s">
        <v>54</v>
      </c>
      <c r="T27" s="31">
        <f>IF(ABS(T24^2+T25^2-T26^2)&lt;0.0001,0,SQRT(T24^2+T25^2-T26^2))</f>
        <v>0.70710678118654779</v>
      </c>
    </row>
    <row r="28" spans="1:21" x14ac:dyDescent="0.25">
      <c r="H28" s="30" t="s">
        <v>53</v>
      </c>
      <c r="I28" s="31" t="str">
        <f>IF(ABS(F15)&lt;0.0001, "NA",(I25+I27)/(I24+I26))</f>
        <v>NA</v>
      </c>
      <c r="J28" s="31" t="e">
        <f>IF(ABS(J24+J26)&lt;0.0001, "NA",(J25+J27)/(J24+J26))</f>
        <v>#VALUE!</v>
      </c>
      <c r="K28" s="1"/>
      <c r="N28" s="22">
        <v>0</v>
      </c>
      <c r="O28" s="22">
        <v>0</v>
      </c>
      <c r="P28" s="22">
        <v>0</v>
      </c>
      <c r="S28" s="30" t="s">
        <v>53</v>
      </c>
      <c r="T28" s="31">
        <f>IF(ABS(F15)&gt;0.0001, "NA",(T25+T27)/(T24+T26))</f>
        <v>2.4142135623730967</v>
      </c>
    </row>
    <row r="29" spans="1:21" x14ac:dyDescent="0.25">
      <c r="H29" s="16" t="s">
        <v>35</v>
      </c>
      <c r="I29" s="42" t="str">
        <f>IF(ABS(F15)&lt;0.0001, "NA", DEGREES(2*ATAN(I28)))</f>
        <v>NA</v>
      </c>
      <c r="J29" s="42" t="e">
        <f>IF(J28="NA",J28, DEGREES(2*ATAN(J28)))</f>
        <v>#VALUE!</v>
      </c>
      <c r="K29" s="27" t="e">
        <f>DEGREES(ASIN((J24*I26+I24*J26)/(J24*I25+I24*J25)))</f>
        <v>#VALUE!</v>
      </c>
      <c r="S29" s="16" t="s">
        <v>34</v>
      </c>
      <c r="T29" s="42">
        <f>IF(ABS(F15)&gt;0.0001, "NA", DEGREES(2*ATAN(T28)))</f>
        <v>135.00000000000003</v>
      </c>
      <c r="U29" s="42" t="e">
        <f>IF(J28="NA",J28, DEGREES(2*ATAN(J28)))</f>
        <v>#VALUE!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4" workbookViewId="0">
      <selection activeCell="J27" sqref="J27"/>
    </sheetView>
  </sheetViews>
  <sheetFormatPr defaultRowHeight="15" x14ac:dyDescent="0.25"/>
  <cols>
    <col min="1" max="4" width="8.7109375" customWidth="1"/>
    <col min="5" max="5" width="9.42578125" style="1" customWidth="1"/>
    <col min="6" max="6" width="8.5703125" style="1" customWidth="1"/>
    <col min="7" max="7" width="8.7109375" style="2" customWidth="1"/>
    <col min="8" max="8" width="9.28515625" style="2" customWidth="1"/>
    <col min="9" max="15" width="8.7109375" style="2" customWidth="1"/>
    <col min="16" max="16" width="8.7109375" style="1" customWidth="1"/>
    <col min="17" max="17" width="8.42578125" style="1" customWidth="1"/>
  </cols>
  <sheetData>
    <row r="1" spans="1:17" x14ac:dyDescent="0.25">
      <c r="I1" s="2" t="s">
        <v>36</v>
      </c>
    </row>
    <row r="2" spans="1:17" x14ac:dyDescent="0.25">
      <c r="H2" s="2" t="s">
        <v>43</v>
      </c>
    </row>
    <row r="3" spans="1:17" x14ac:dyDescent="0.25">
      <c r="H3" s="2" t="s">
        <v>49</v>
      </c>
    </row>
    <row r="5" spans="1:17" x14ac:dyDescent="0.25">
      <c r="E5" s="4" t="s">
        <v>44</v>
      </c>
    </row>
    <row r="6" spans="1:17" x14ac:dyDescent="0.25">
      <c r="E6" t="s">
        <v>45</v>
      </c>
    </row>
    <row r="7" spans="1:17" ht="18" x14ac:dyDescent="0.25">
      <c r="E7"/>
      <c r="M7" s="23"/>
      <c r="N7" s="8"/>
      <c r="O7" s="18" t="s">
        <v>16</v>
      </c>
      <c r="P7" s="7"/>
    </row>
    <row r="8" spans="1:17" ht="18" x14ac:dyDescent="0.25">
      <c r="E8" s="46" t="s">
        <v>46</v>
      </c>
      <c r="F8" s="4" t="s">
        <v>77</v>
      </c>
      <c r="M8" s="24"/>
      <c r="N8" s="17" t="s">
        <v>17</v>
      </c>
      <c r="O8" s="17" t="s">
        <v>18</v>
      </c>
      <c r="P8" s="17" t="s">
        <v>19</v>
      </c>
      <c r="Q8" s="1" t="s">
        <v>40</v>
      </c>
    </row>
    <row r="9" spans="1:17" x14ac:dyDescent="0.25">
      <c r="E9" s="47" t="s">
        <v>47</v>
      </c>
      <c r="F9" s="4" t="s">
        <v>78</v>
      </c>
      <c r="I9" s="16" t="s">
        <v>34</v>
      </c>
      <c r="J9" s="16" t="s">
        <v>35</v>
      </c>
      <c r="K9" s="16" t="s">
        <v>33</v>
      </c>
      <c r="M9" s="25" t="s">
        <v>37</v>
      </c>
      <c r="N9" s="22">
        <v>0</v>
      </c>
      <c r="O9" s="22">
        <v>1</v>
      </c>
      <c r="P9" s="22">
        <f>SQRT(2)</f>
        <v>1.4142135623730951</v>
      </c>
    </row>
    <row r="10" spans="1:17" x14ac:dyDescent="0.25">
      <c r="E10" s="48" t="s">
        <v>48</v>
      </c>
      <c r="F10" s="4" t="s">
        <v>32</v>
      </c>
      <c r="I10" s="26">
        <f>IF(ABS(F15)&lt;0.0001,T29,E24)</f>
        <v>-90</v>
      </c>
      <c r="J10" s="26">
        <f>IF(ABS(C15)&lt;0.0001,I29,IF(ABS(F15)&lt;0.0001,J29,"NA"))</f>
        <v>-2.4817975732550234E-15</v>
      </c>
      <c r="K10" s="26">
        <f>IF(ABS(N17)&lt;0.0001,DEGREES(ASIN(-N9/N18)),IF(ABS(N18)&lt;0.0001,DEGREES(ASIN(O9/N17)),DEGREES(ASIN((N17*O9-N18*N9)/(N17^2-N18^2)))))</f>
        <v>0</v>
      </c>
      <c r="M10" s="25" t="s">
        <v>32</v>
      </c>
      <c r="N10" s="27">
        <f>INDEX(F15:K18,1,6)*N17-INDEX(F15:K18,1,5)*N18</f>
        <v>0</v>
      </c>
      <c r="O10" s="27">
        <f>INDEX(F15:K18,1,5)*N17+INDEX(F15:K18,1,6)*N18</f>
        <v>0.99999999999999989</v>
      </c>
      <c r="P10" s="27">
        <f>N19</f>
        <v>1.4142135623730949</v>
      </c>
      <c r="Q10" s="1">
        <f>((N9-N10)^2+(O9-O10)^2+(P9-P10)^2)/(N9^2+O9^2+P9^2)*100</f>
        <v>2.0543252740130515E-30</v>
      </c>
    </row>
    <row r="11" spans="1:17" x14ac:dyDescent="0.25">
      <c r="A11" s="2"/>
      <c r="B11" s="2"/>
      <c r="C11" s="2"/>
      <c r="D11" s="2"/>
      <c r="E11" s="2"/>
      <c r="G11" s="1"/>
      <c r="H11" s="1"/>
      <c r="I11"/>
      <c r="J11"/>
      <c r="K11"/>
      <c r="L11"/>
      <c r="Q11" t="s">
        <v>41</v>
      </c>
    </row>
    <row r="12" spans="1:17" x14ac:dyDescent="0.25">
      <c r="A12" s="2"/>
      <c r="B12" s="1" t="s">
        <v>4</v>
      </c>
      <c r="C12" s="1"/>
      <c r="E12"/>
      <c r="G12" s="1"/>
      <c r="H12"/>
      <c r="I12"/>
      <c r="J12"/>
      <c r="K12"/>
      <c r="L12"/>
    </row>
    <row r="13" spans="1:17" x14ac:dyDescent="0.25">
      <c r="A13" s="2"/>
      <c r="B13" s="6" t="s">
        <v>6</v>
      </c>
      <c r="C13" s="6" t="s">
        <v>5</v>
      </c>
      <c r="D13" s="11" t="s">
        <v>7</v>
      </c>
      <c r="E13" s="6" t="s">
        <v>8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/>
      <c r="O13" s="2" t="s">
        <v>42</v>
      </c>
    </row>
    <row r="14" spans="1:17" ht="18.75" x14ac:dyDescent="0.25">
      <c r="A14" s="13" t="s">
        <v>9</v>
      </c>
      <c r="B14" s="9" t="s">
        <v>1</v>
      </c>
      <c r="C14" s="9" t="s">
        <v>2</v>
      </c>
      <c r="D14" s="9" t="s">
        <v>3</v>
      </c>
      <c r="E14" s="36" t="s">
        <v>0</v>
      </c>
      <c r="F14" s="9" t="s">
        <v>11</v>
      </c>
      <c r="G14" s="9" t="s">
        <v>10</v>
      </c>
      <c r="H14" s="9" t="s">
        <v>2</v>
      </c>
      <c r="I14" s="9" t="s">
        <v>3</v>
      </c>
      <c r="J14" s="9" t="s">
        <v>12</v>
      </c>
      <c r="K14" s="14" t="s">
        <v>13</v>
      </c>
      <c r="M14" s="5" t="s">
        <v>24</v>
      </c>
      <c r="N14" s="5">
        <f>INDEX(F15:K18,3,3)*INDEX(F15:K18,3,6)+INDEX(F15:K18,4,4)*INDEX(F15:K18,3,1)*INDEX(F15:K18,3,5)+INDEX(F15:K18,2,3)</f>
        <v>6.1257422745431001E-17</v>
      </c>
      <c r="O14" s="19">
        <f>ROW(Q14)</f>
        <v>14</v>
      </c>
      <c r="P14" s="5" t="s">
        <v>20</v>
      </c>
      <c r="Q14" s="5">
        <f>N14</f>
        <v>6.1257422745431001E-17</v>
      </c>
    </row>
    <row r="15" spans="1:17" x14ac:dyDescent="0.25">
      <c r="A15" s="12">
        <v>1</v>
      </c>
      <c r="B15" s="22">
        <v>-90</v>
      </c>
      <c r="C15" s="22">
        <v>0</v>
      </c>
      <c r="D15" s="22">
        <v>0</v>
      </c>
      <c r="E15" s="35">
        <f>K10</f>
        <v>0</v>
      </c>
      <c r="F15" s="10">
        <f>SIN(RADIANS(B15))</f>
        <v>-1</v>
      </c>
      <c r="G15" s="10">
        <f>COS(RADIANS(B15))</f>
        <v>6.1257422745431001E-17</v>
      </c>
      <c r="H15" s="10">
        <f t="shared" ref="H15:I18" si="0">C15</f>
        <v>0</v>
      </c>
      <c r="I15" s="10">
        <f t="shared" si="0"/>
        <v>0</v>
      </c>
      <c r="J15" s="10">
        <f>SIN(RADIANS(E15))</f>
        <v>0</v>
      </c>
      <c r="K15" s="14">
        <f>COS(RADIANS(E15))</f>
        <v>1</v>
      </c>
      <c r="L15" s="15"/>
      <c r="M15" s="5" t="s">
        <v>25</v>
      </c>
      <c r="N15" s="5">
        <f>INDEX(F15:K18,3,3)*INDEX(F15:K18,2,2)*INDEX(F15:K18,3,5)-INDEX(F15:K18,4,4)*INDEX(F15:K18,3,1)*INDEX(F15:K18,2,2)*INDEX(F15:K18,3,6)-INDEX(F15:K18,4,4)*INDEX(F15:K18,2,1)*INDEX(F15:K18,3,2)-INDEX(F15:K18,3,4)*INDEX(F15:K18,2,1)</f>
        <v>-1.4142135623730949</v>
      </c>
      <c r="O15" s="19">
        <f t="shared" ref="O15:O21" si="1">ROW(Q15)</f>
        <v>15</v>
      </c>
      <c r="P15" s="5" t="s">
        <v>21</v>
      </c>
      <c r="Q15" s="5">
        <f>-N15</f>
        <v>1.4142135623730949</v>
      </c>
    </row>
    <row r="16" spans="1:17" x14ac:dyDescent="0.25">
      <c r="A16" s="12">
        <v>2</v>
      </c>
      <c r="B16" s="22">
        <v>45</v>
      </c>
      <c r="C16" s="22">
        <v>0</v>
      </c>
      <c r="D16" s="22">
        <v>1</v>
      </c>
      <c r="E16" s="35">
        <f>IF(ABS(C15)&lt;0.0001,I29,IF(ABS(F15)&lt;0.0001,J29,"NA"))</f>
        <v>-2.4817975732550234E-15</v>
      </c>
      <c r="F16" s="10">
        <f>SIN(RADIANS(B16))</f>
        <v>0.70710678118654746</v>
      </c>
      <c r="G16" s="10">
        <f>COS(RADIANS(B16))</f>
        <v>0.70710678118654757</v>
      </c>
      <c r="H16" s="10">
        <f t="shared" si="0"/>
        <v>0</v>
      </c>
      <c r="I16" s="10">
        <f t="shared" si="0"/>
        <v>1</v>
      </c>
      <c r="J16" s="10">
        <f>SIN(RADIANS(E16))</f>
        <v>-4.3315539021305322E-17</v>
      </c>
      <c r="K16" s="14">
        <f>COS(RADIANS(E16))</f>
        <v>1</v>
      </c>
      <c r="L16" s="15"/>
      <c r="M16" s="5" t="s">
        <v>26</v>
      </c>
      <c r="N16" s="5">
        <f>INDEX(F15:K18,3,3)*INDEX(F15:K18,2,1)*INDEX(F15:K18,3,5)-INDEX(F15:K18,4,4)*INDEX(F15:K18,3,1)*INDEX(F15:K18,2,1)*INDEX(F15:K18,3,6)+INDEX(F15:K18,4,4)*INDEX(F15:K18,2,1)*INDEX(F15:K18,3,2)+INDEX(F15:K18,3,4)*INDEX(F15:K18,2,2)</f>
        <v>0</v>
      </c>
      <c r="O16" s="19">
        <f t="shared" si="1"/>
        <v>16</v>
      </c>
      <c r="P16" s="5" t="s">
        <v>22</v>
      </c>
      <c r="Q16" s="5">
        <f>N14^2+N15^2+N16^2+INDEX(F15:K18,2,3)^2+INDEX(F15:K18,2,4)^2+2*INDEX(F15:K18,2,4)*N16</f>
        <v>2.9999999999999996</v>
      </c>
    </row>
    <row r="17" spans="1:21" x14ac:dyDescent="0.25">
      <c r="A17" s="12">
        <v>3</v>
      </c>
      <c r="B17" s="22">
        <v>0</v>
      </c>
      <c r="C17" s="22">
        <v>1</v>
      </c>
      <c r="D17" s="22">
        <v>1</v>
      </c>
      <c r="E17" s="35">
        <f>I10</f>
        <v>-90</v>
      </c>
      <c r="F17" s="10">
        <f>SIN(RADIANS(B17))</f>
        <v>0</v>
      </c>
      <c r="G17" s="10">
        <f>COS(RADIANS(B17))</f>
        <v>1</v>
      </c>
      <c r="H17" s="10">
        <f t="shared" si="0"/>
        <v>1</v>
      </c>
      <c r="I17" s="10">
        <f t="shared" si="0"/>
        <v>1</v>
      </c>
      <c r="J17" s="10">
        <f>SIN(RADIANS(E17))</f>
        <v>-1</v>
      </c>
      <c r="K17" s="14">
        <f>COS(RADIANS(E17))</f>
        <v>6.1257422745431001E-17</v>
      </c>
      <c r="L17" s="15"/>
      <c r="M17" s="5" t="s">
        <v>27</v>
      </c>
      <c r="N17" s="5">
        <f>INDEX(F15:K18,2,6)*N14-INDEX(F15:K18,2,5)*N15+INDEX(F15:K18,1,3)</f>
        <v>0</v>
      </c>
      <c r="O17" s="19">
        <f t="shared" si="1"/>
        <v>17</v>
      </c>
      <c r="P17" s="5" t="s">
        <v>23</v>
      </c>
      <c r="Q17" s="5">
        <f>N16*INDEX(F15:K18,1,2)+INDEX(F15:K18,2,4)*INDEX(F15:K18,1,2)</f>
        <v>6.1257422745431001E-17</v>
      </c>
    </row>
    <row r="18" spans="1:21" x14ac:dyDescent="0.25">
      <c r="A18" s="12">
        <v>4</v>
      </c>
      <c r="B18" s="22">
        <v>0</v>
      </c>
      <c r="C18" s="22">
        <v>0</v>
      </c>
      <c r="D18" s="22">
        <v>0</v>
      </c>
      <c r="E18" s="35">
        <v>0</v>
      </c>
      <c r="F18" s="10">
        <f>SIN(RADIANS(B18))</f>
        <v>0</v>
      </c>
      <c r="G18" s="10">
        <f>COS(RADIANS(B18))</f>
        <v>1</v>
      </c>
      <c r="H18" s="10">
        <f t="shared" si="0"/>
        <v>0</v>
      </c>
      <c r="I18" s="10">
        <f t="shared" si="0"/>
        <v>0</v>
      </c>
      <c r="J18" s="10">
        <f>SIN(RADIANS(E18))</f>
        <v>0</v>
      </c>
      <c r="K18" s="14">
        <f>COS(RADIANS(E18))</f>
        <v>1</v>
      </c>
      <c r="L18" s="15"/>
      <c r="M18" s="5" t="s">
        <v>28</v>
      </c>
      <c r="N18" s="5">
        <f>INDEX(F15:K18,2,5)*INDEX(F15:K18,1,2)*N14+INDEX(F15:K18,2,6)*INDEX(F15:K18,1,2)*N15-INDEX(F15:K18,1,1)*N16-INDEX(F15:K18,2,4)*INDEX(F15:K18,1,1)</f>
        <v>0.99999999999999989</v>
      </c>
      <c r="O18" s="19">
        <f t="shared" si="1"/>
        <v>18</v>
      </c>
      <c r="P18" s="5" t="s">
        <v>30</v>
      </c>
      <c r="Q18" s="5">
        <f>IF(ABS(INDEX(F15:K18,1,3))&gt;0.001,(Q14*INDEX(F15:K18,2,6)+Q15*INDEX(F15:K18,2,5))*2*INDEX(F15:K18,1,3)+Q16,Q16)</f>
        <v>2.9999999999999996</v>
      </c>
    </row>
    <row r="19" spans="1:21" x14ac:dyDescent="0.25">
      <c r="E19" s="37"/>
      <c r="L19" s="15"/>
      <c r="M19" s="5" t="s">
        <v>29</v>
      </c>
      <c r="N19" s="5">
        <f>INDEX(F15:K18,2,5)*INDEX(F15:K18,1,1)*N14+INDEX(F15:K18,2,6)*INDEX(F15:K18,1,1)*N15+INDEX(F15:K18,1,2)*N16+INDEX(F15:K18,2,4)*INDEX(F15:K18,1,2)</f>
        <v>1.4142135623730949</v>
      </c>
      <c r="O19" s="19">
        <f t="shared" si="1"/>
        <v>19</v>
      </c>
      <c r="P19" s="5" t="s">
        <v>31</v>
      </c>
      <c r="Q19" s="5">
        <f>IF(ABS(INDEX(F15:K18,1,1))&gt;0.001,(Q14*INDEX(F15:K18,2,5)-Q15*INDEX(F15:K18,2,6))*INDEX(F15:K18,1,1)+Q17,Q17)</f>
        <v>1.4142135623730949</v>
      </c>
    </row>
    <row r="20" spans="1:21" s="3" customFormat="1" x14ac:dyDescent="0.25">
      <c r="A20"/>
      <c r="B20"/>
      <c r="C20"/>
      <c r="D20"/>
      <c r="E20" s="1"/>
      <c r="F20" s="1"/>
      <c r="I20" s="16" t="s">
        <v>74</v>
      </c>
      <c r="J20" s="2"/>
      <c r="K20" s="2"/>
      <c r="L20" s="15"/>
      <c r="M20" s="5"/>
      <c r="N20" s="5"/>
      <c r="O20" s="19">
        <f t="shared" si="1"/>
        <v>20</v>
      </c>
      <c r="P20" s="5" t="s">
        <v>38</v>
      </c>
      <c r="Q20" s="5">
        <f>N9^2+O9^2+P9^2</f>
        <v>3.0000000000000004</v>
      </c>
      <c r="T20" s="16" t="s">
        <v>71</v>
      </c>
    </row>
    <row r="21" spans="1:21" x14ac:dyDescent="0.25">
      <c r="F21" s="1">
        <f>(J24*I25+  J25*I24)</f>
        <v>-1.9999999999999996</v>
      </c>
      <c r="H21" s="20"/>
      <c r="I21" s="21"/>
      <c r="J21" s="21"/>
      <c r="L21" s="15"/>
      <c r="O21" s="19">
        <f t="shared" si="1"/>
        <v>21</v>
      </c>
      <c r="P21" s="5" t="s">
        <v>39</v>
      </c>
      <c r="Q21" s="1">
        <f>P9</f>
        <v>1.4142135623730951</v>
      </c>
      <c r="S21" s="20"/>
      <c r="T21" s="21"/>
      <c r="U21" s="21"/>
    </row>
    <row r="22" spans="1:21" ht="18.75" x14ac:dyDescent="0.35">
      <c r="B22" s="2"/>
      <c r="C22" s="2"/>
      <c r="D22" s="40" t="s">
        <v>70</v>
      </c>
      <c r="H22" s="33" t="s">
        <v>56</v>
      </c>
      <c r="I22" s="32" t="s">
        <v>61</v>
      </c>
      <c r="J22" s="9" t="s">
        <v>62</v>
      </c>
      <c r="K22" s="34" t="s">
        <v>57</v>
      </c>
      <c r="L22" s="15"/>
      <c r="M22" s="28" t="s">
        <v>14</v>
      </c>
      <c r="N22" s="28" t="str">
        <f>IF(ABS(INDEX(F15:K18,1,3))&gt;0.001,IF(ABS(INDEX(F15:K18,1,1))&gt;0.001,(Q18-Q16)^2/4/INDEX(F15:K18,1,3)^2+(Q19-Q17)^2/INDEX(F15:K18,1,1)^2,"NA"),"NA")</f>
        <v>NA</v>
      </c>
      <c r="O22"/>
      <c r="P22" s="28" t="s">
        <v>15</v>
      </c>
      <c r="Q22" s="28">
        <f>Q14^2+Q15^2</f>
        <v>1.9999999999999996</v>
      </c>
      <c r="S22" s="33" t="s">
        <v>56</v>
      </c>
      <c r="T22" s="9" t="s">
        <v>79</v>
      </c>
      <c r="U22" s="32" t="s">
        <v>80</v>
      </c>
    </row>
    <row r="23" spans="1:21" x14ac:dyDescent="0.25">
      <c r="B23" s="16" t="s">
        <v>67</v>
      </c>
      <c r="C23" s="38" t="s">
        <v>68</v>
      </c>
      <c r="D23" s="41" t="s">
        <v>69</v>
      </c>
      <c r="E23" s="39" t="s">
        <v>34</v>
      </c>
      <c r="F23" s="28"/>
      <c r="H23" s="30" t="s">
        <v>55</v>
      </c>
      <c r="I23" s="5" t="s">
        <v>58</v>
      </c>
      <c r="J23" s="5" t="s">
        <v>75</v>
      </c>
      <c r="K23" s="5" t="s">
        <v>60</v>
      </c>
      <c r="R23" s="29"/>
      <c r="S23" s="30" t="s">
        <v>55</v>
      </c>
      <c r="T23" s="5" t="s">
        <v>58</v>
      </c>
      <c r="U23" s="5" t="s">
        <v>75</v>
      </c>
    </row>
    <row r="24" spans="1:21" x14ac:dyDescent="0.25">
      <c r="B24" s="43">
        <v>-180</v>
      </c>
      <c r="C24" s="43">
        <v>0</v>
      </c>
      <c r="D24" s="44">
        <v>5</v>
      </c>
      <c r="E24" s="27">
        <f>B$24+(C$24-B$24)/10*D24</f>
        <v>-90</v>
      </c>
      <c r="F24" s="28"/>
      <c r="H24" s="30" t="s">
        <v>50</v>
      </c>
      <c r="I24" s="31">
        <f>-Q15</f>
        <v>-1.4142135623730949</v>
      </c>
      <c r="J24" s="31">
        <f>Q14</f>
        <v>6.1257422745431001E-17</v>
      </c>
      <c r="K24" s="1"/>
      <c r="R24" s="28"/>
      <c r="S24" s="30" t="s">
        <v>50</v>
      </c>
      <c r="T24" s="45"/>
      <c r="U24">
        <f>-INDEX(F15:K18,4,4)*INDEX(F15:K18,3,1)*INDEX(F15:K18,2,1)</f>
        <v>0</v>
      </c>
    </row>
    <row r="25" spans="1:21" x14ac:dyDescent="0.25">
      <c r="B25" s="2"/>
      <c r="C25" s="2"/>
      <c r="D25" s="2"/>
      <c r="E25" s="24"/>
      <c r="H25" s="30" t="s">
        <v>51</v>
      </c>
      <c r="I25" s="31">
        <f>Q14</f>
        <v>6.1257422745431001E-17</v>
      </c>
      <c r="J25" s="31">
        <f>Q15</f>
        <v>1.4142135623730949</v>
      </c>
      <c r="K25" s="1"/>
      <c r="N25" s="22">
        <v>-90</v>
      </c>
      <c r="O25" s="22">
        <v>0</v>
      </c>
      <c r="P25" s="22">
        <v>0</v>
      </c>
      <c r="S25" s="30" t="s">
        <v>51</v>
      </c>
      <c r="T25" s="31"/>
      <c r="U25">
        <f>INDEX(F15:K18,3,3)*INDEX(F15:K18,2,1)</f>
        <v>0.70710678118654746</v>
      </c>
    </row>
    <row r="26" spans="1:21" x14ac:dyDescent="0.25">
      <c r="B26" s="2"/>
      <c r="C26" s="2"/>
      <c r="D26" s="2"/>
      <c r="H26" s="30" t="s">
        <v>52</v>
      </c>
      <c r="I26" s="31">
        <f>IF(ABS(F15)&lt;0.0001, "NA",(Q21-Q17)/F15)</f>
        <v>-1.4142135623730951</v>
      </c>
      <c r="J26" s="31" t="e">
        <f>IF(ABS(Q15)&lt;0.0001, "NA",(Q20-Q16)/(2*H15))</f>
        <v>#DIV/0!</v>
      </c>
      <c r="K26" s="1"/>
      <c r="N26" s="22">
        <v>45</v>
      </c>
      <c r="O26" s="22">
        <v>0</v>
      </c>
      <c r="P26" s="22">
        <v>1</v>
      </c>
      <c r="R26" s="29"/>
      <c r="S26" s="30" t="s">
        <v>52</v>
      </c>
      <c r="T26" s="31"/>
      <c r="U26">
        <f>P9-INDEX(F15:K18,4,4)*INDEX(F15:K18,2,2)*INDEX(F15:K18,3,2)-INDEX(F15:K18,3,4)*INDEX(F15:K18,2,2)-INDEX(F15:K18,2,4)</f>
        <v>-0.29289321881345243</v>
      </c>
    </row>
    <row r="27" spans="1:21" x14ac:dyDescent="0.25">
      <c r="H27" s="30" t="s">
        <v>54</v>
      </c>
      <c r="I27" s="31">
        <f>IF(ABS(I24^2+I25^2-I26^2)&lt;0.0001,0,SQRT(I24^2+I25^2-I26^2))</f>
        <v>0</v>
      </c>
      <c r="J27" s="31" t="e">
        <f>IF(ABS(J24^2+J25^2-J26^2)&lt;0,0,SQRT(J24^2+J25^2-J26^2))</f>
        <v>#DIV/0!</v>
      </c>
      <c r="K27" s="1"/>
      <c r="N27" s="22">
        <v>0</v>
      </c>
      <c r="O27" s="22">
        <v>1</v>
      </c>
      <c r="P27" s="22">
        <v>1</v>
      </c>
      <c r="S27" s="30" t="s">
        <v>54</v>
      </c>
      <c r="T27" s="31">
        <f>IF(ABS(T24^2+T25^2-T26^2)&lt;0.0001,0,SQRT(T24^2+T25^2-T26^2))</f>
        <v>0</v>
      </c>
      <c r="U27">
        <f>IF(ABS(T24^2+T25^2-T26^2)&lt;0.0001,0,SQRT(T24^2+T25^2-T26^2))</f>
        <v>0</v>
      </c>
    </row>
    <row r="28" spans="1:21" x14ac:dyDescent="0.25">
      <c r="H28" s="30" t="s">
        <v>53</v>
      </c>
      <c r="I28" s="31">
        <f>IF(ABS(F15)&lt;0.0001, "NA",(I25+I27)/(I24+I26))</f>
        <v>-2.1657769510652661E-17</v>
      </c>
      <c r="J28" s="31" t="e">
        <f>IF(ABS(J24+J26)&lt;0.0001, "NA",(J25+J27)/(J24+J26))</f>
        <v>#DIV/0!</v>
      </c>
      <c r="K28" s="1"/>
      <c r="N28" s="22">
        <v>0</v>
      </c>
      <c r="O28" s="22">
        <v>0</v>
      </c>
      <c r="P28" s="22">
        <v>0</v>
      </c>
      <c r="S28" s="30" t="s">
        <v>53</v>
      </c>
      <c r="T28" s="31" t="str">
        <f>IF(ABS(F15)&gt;0.0001, "NA",(T25+T27)/(T24+T26))</f>
        <v>NA</v>
      </c>
      <c r="U28" t="str">
        <f>IF(ABS(F15)&gt;0.0001, "NA",(T25+T27)/(T24+T26))</f>
        <v>NA</v>
      </c>
    </row>
    <row r="29" spans="1:21" x14ac:dyDescent="0.25">
      <c r="H29" s="16" t="s">
        <v>35</v>
      </c>
      <c r="I29" s="42">
        <f>IF(ABS(F15)&lt;0.0001, "NA", DEGREES(2*ATAN(I28)))</f>
        <v>-2.4817975732550234E-15</v>
      </c>
      <c r="J29" s="42" t="e">
        <f>IF(J28="NA",J28, DEGREES(2*ATAN(J28)))</f>
        <v>#DIV/0!</v>
      </c>
      <c r="K29" s="27" t="e">
        <f>DEGREES(ASIN((J24*I26+I24*J26)/(J24*I25+I24*J25)))</f>
        <v>#DIV/0!</v>
      </c>
      <c r="S29" s="16" t="s">
        <v>34</v>
      </c>
      <c r="T29" s="42" t="str">
        <f>IF(ABS(F15)&gt;0.0001, "NA", DEGREES(2*ATAN(T28)))</f>
        <v>NA</v>
      </c>
      <c r="U29" s="42" t="str">
        <f>IF(ABS(F15)&gt;0.0001, "NA", DEGREES(2*ATAN(T28)))</f>
        <v>NA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3" workbookViewId="0">
      <selection activeCell="K26" sqref="K26"/>
    </sheetView>
  </sheetViews>
  <sheetFormatPr defaultRowHeight="15" x14ac:dyDescent="0.25"/>
  <cols>
    <col min="1" max="4" width="8.7109375" customWidth="1"/>
    <col min="5" max="5" width="9.42578125" style="1" customWidth="1"/>
    <col min="6" max="6" width="8.5703125" style="1" customWidth="1"/>
    <col min="7" max="7" width="8.7109375" style="2" customWidth="1"/>
    <col min="8" max="8" width="9.28515625" style="2" customWidth="1"/>
    <col min="9" max="15" width="8.7109375" style="2" customWidth="1"/>
    <col min="16" max="16" width="8.7109375" style="1" customWidth="1"/>
    <col min="17" max="17" width="8.42578125" style="1" customWidth="1"/>
  </cols>
  <sheetData>
    <row r="1" spans="1:17" x14ac:dyDescent="0.25">
      <c r="I1" s="2" t="s">
        <v>36</v>
      </c>
    </row>
    <row r="2" spans="1:17" x14ac:dyDescent="0.25">
      <c r="H2" s="2" t="s">
        <v>43</v>
      </c>
    </row>
    <row r="3" spans="1:17" x14ac:dyDescent="0.25">
      <c r="H3" s="2" t="s">
        <v>49</v>
      </c>
    </row>
    <row r="5" spans="1:17" x14ac:dyDescent="0.25">
      <c r="E5" s="4" t="s">
        <v>44</v>
      </c>
    </row>
    <row r="6" spans="1:17" x14ac:dyDescent="0.25">
      <c r="E6" t="s">
        <v>45</v>
      </c>
    </row>
    <row r="7" spans="1:17" ht="18" x14ac:dyDescent="0.25">
      <c r="E7"/>
      <c r="M7" s="23"/>
      <c r="N7" s="8"/>
      <c r="O7" s="18" t="s">
        <v>16</v>
      </c>
      <c r="P7" s="7"/>
    </row>
    <row r="8" spans="1:17" ht="18" x14ac:dyDescent="0.25">
      <c r="E8" s="46" t="s">
        <v>46</v>
      </c>
      <c r="F8" s="4" t="s">
        <v>77</v>
      </c>
      <c r="M8" s="24"/>
      <c r="N8" s="17" t="s">
        <v>17</v>
      </c>
      <c r="O8" s="17" t="s">
        <v>18</v>
      </c>
      <c r="P8" s="17" t="s">
        <v>19</v>
      </c>
      <c r="Q8" s="1" t="s">
        <v>40</v>
      </c>
    </row>
    <row r="9" spans="1:17" x14ac:dyDescent="0.25">
      <c r="E9" s="47" t="s">
        <v>47</v>
      </c>
      <c r="F9" s="4" t="s">
        <v>78</v>
      </c>
      <c r="I9" s="16" t="s">
        <v>34</v>
      </c>
      <c r="J9" s="16" t="s">
        <v>35</v>
      </c>
      <c r="K9" s="16" t="s">
        <v>33</v>
      </c>
      <c r="M9" s="25" t="s">
        <v>37</v>
      </c>
      <c r="N9" s="22">
        <v>0</v>
      </c>
      <c r="O9" s="22">
        <v>1</v>
      </c>
      <c r="P9" s="22">
        <f>SQRT(2)</f>
        <v>1.4142135623730951</v>
      </c>
    </row>
    <row r="10" spans="1:17" x14ac:dyDescent="0.25">
      <c r="E10" s="48" t="s">
        <v>48</v>
      </c>
      <c r="F10" s="4" t="s">
        <v>32</v>
      </c>
      <c r="I10" s="26">
        <f>E24</f>
        <v>-90</v>
      </c>
      <c r="J10" s="26">
        <f>IF(ABS(H15)&lt;0.0001,I29, IF(ABS(F15)&lt;0.0001,J29,K29))</f>
        <v>-2.4817975732550234E-15</v>
      </c>
      <c r="K10" s="26">
        <f>IF(ABS(N17)&lt;0.0001,DEGREES(ASIN(-N9/N18)),IF(ABS(N18)&lt;0.0001,DEGREES(ASIN(O9/N17)),DEGREES(ASIN((N17*O9-N18*N9)/(N17^2-N18^2)))))</f>
        <v>0</v>
      </c>
      <c r="M10" s="25" t="s">
        <v>32</v>
      </c>
      <c r="N10" s="27">
        <f>INDEX(F15:K18,1,6)*N17-INDEX(F15:K18,1,5)*N18</f>
        <v>0</v>
      </c>
      <c r="O10" s="27">
        <f>INDEX(F15:K18,1,5)*N17+INDEX(F15:K18,1,6)*N18</f>
        <v>0.99999999999999989</v>
      </c>
      <c r="P10" s="27">
        <f>N19</f>
        <v>1.4142135623730949</v>
      </c>
      <c r="Q10" s="1">
        <f>((N9-N10)^2+(O9-O10)^2+(P9-P10)^2)/(N9^2+O9^2+P9^2)*100</f>
        <v>2.0543252740130515E-30</v>
      </c>
    </row>
    <row r="11" spans="1:17" x14ac:dyDescent="0.25">
      <c r="A11" s="2"/>
      <c r="B11" s="2"/>
      <c r="C11" s="2"/>
      <c r="D11" s="2"/>
      <c r="E11" s="2"/>
      <c r="G11" s="1"/>
      <c r="H11" s="1"/>
      <c r="I11"/>
      <c r="J11"/>
      <c r="K11"/>
      <c r="L11"/>
      <c r="Q11" t="s">
        <v>41</v>
      </c>
    </row>
    <row r="12" spans="1:17" x14ac:dyDescent="0.25">
      <c r="A12" s="2"/>
      <c r="B12" s="1" t="s">
        <v>4</v>
      </c>
      <c r="C12" s="1"/>
      <c r="E12"/>
      <c r="G12" s="1"/>
      <c r="H12"/>
      <c r="I12"/>
      <c r="J12"/>
      <c r="K12"/>
      <c r="L12"/>
    </row>
    <row r="13" spans="1:17" x14ac:dyDescent="0.25">
      <c r="A13" s="2"/>
      <c r="B13" s="6" t="s">
        <v>6</v>
      </c>
      <c r="C13" s="6" t="s">
        <v>5</v>
      </c>
      <c r="D13" s="11" t="s">
        <v>7</v>
      </c>
      <c r="E13" s="6" t="s">
        <v>8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/>
      <c r="O13" s="2" t="s">
        <v>42</v>
      </c>
    </row>
    <row r="14" spans="1:17" ht="18.75" x14ac:dyDescent="0.25">
      <c r="A14" s="13" t="s">
        <v>9</v>
      </c>
      <c r="B14" s="9" t="s">
        <v>1</v>
      </c>
      <c r="C14" s="9" t="s">
        <v>2</v>
      </c>
      <c r="D14" s="9" t="s">
        <v>3</v>
      </c>
      <c r="E14" s="36" t="s">
        <v>0</v>
      </c>
      <c r="F14" s="9" t="s">
        <v>11</v>
      </c>
      <c r="G14" s="9" t="s">
        <v>10</v>
      </c>
      <c r="H14" s="9" t="s">
        <v>2</v>
      </c>
      <c r="I14" s="9" t="s">
        <v>3</v>
      </c>
      <c r="J14" s="9" t="s">
        <v>12</v>
      </c>
      <c r="K14" s="14" t="s">
        <v>13</v>
      </c>
      <c r="M14" s="5" t="s">
        <v>24</v>
      </c>
      <c r="N14" s="5">
        <f>INDEX(F15:K18,3,3)*INDEX(F15:K18,3,6)+INDEX(F15:K18,4,4)*INDEX(F15:K18,3,1)*INDEX(F15:K18,3,5)+INDEX(F15:K18,2,3)</f>
        <v>6.1257422745431001E-17</v>
      </c>
      <c r="O14" s="19">
        <f>ROW(Q14)</f>
        <v>14</v>
      </c>
      <c r="P14" s="5" t="s">
        <v>20</v>
      </c>
      <c r="Q14" s="5">
        <f>N14</f>
        <v>6.1257422745431001E-17</v>
      </c>
    </row>
    <row r="15" spans="1:17" x14ac:dyDescent="0.25">
      <c r="A15" s="12">
        <v>1</v>
      </c>
      <c r="B15" s="22">
        <v>-90</v>
      </c>
      <c r="C15" s="22">
        <v>0</v>
      </c>
      <c r="D15" s="22">
        <v>0</v>
      </c>
      <c r="E15" s="35">
        <f>K10</f>
        <v>0</v>
      </c>
      <c r="F15" s="10">
        <f>SIN(RADIANS(B15))</f>
        <v>-1</v>
      </c>
      <c r="G15" s="10">
        <f>COS(RADIANS(B15))</f>
        <v>6.1257422745431001E-17</v>
      </c>
      <c r="H15" s="10">
        <f t="shared" ref="H15:I18" si="0">C15</f>
        <v>0</v>
      </c>
      <c r="I15" s="10">
        <f t="shared" si="0"/>
        <v>0</v>
      </c>
      <c r="J15" s="10">
        <f>SIN(RADIANS(E15))</f>
        <v>0</v>
      </c>
      <c r="K15" s="14">
        <f>COS(RADIANS(E15))</f>
        <v>1</v>
      </c>
      <c r="L15" s="15"/>
      <c r="M15" s="5" t="s">
        <v>25</v>
      </c>
      <c r="N15" s="5">
        <f>INDEX(F15:K18,3,3)*INDEX(F15:K18,2,2)*INDEX(F15:K18,3,5)-INDEX(F15:K18,4,4)*INDEX(F15:K18,3,1)*INDEX(F15:K18,2,2)*INDEX(F15:K18,3,6)-INDEX(F15:K18,4,4)*INDEX(F15:K18,2,1)*INDEX(F15:K18,3,2)-INDEX(F15:K18,3,4)*INDEX(F15:K18,2,1)</f>
        <v>-1.4142135623730949</v>
      </c>
      <c r="O15" s="19">
        <f t="shared" ref="O15:O21" si="1">ROW(Q15)</f>
        <v>15</v>
      </c>
      <c r="P15" s="5" t="s">
        <v>21</v>
      </c>
      <c r="Q15" s="5">
        <f>-N15</f>
        <v>1.4142135623730949</v>
      </c>
    </row>
    <row r="16" spans="1:17" x14ac:dyDescent="0.25">
      <c r="A16" s="12">
        <v>2</v>
      </c>
      <c r="B16" s="22">
        <v>45</v>
      </c>
      <c r="C16" s="22">
        <v>0</v>
      </c>
      <c r="D16" s="22">
        <v>1</v>
      </c>
      <c r="E16" s="35">
        <f>J10</f>
        <v>-2.4817975732550234E-15</v>
      </c>
      <c r="F16" s="10">
        <f>SIN(RADIANS(B16))</f>
        <v>0.70710678118654746</v>
      </c>
      <c r="G16" s="10">
        <f>COS(RADIANS(B16))</f>
        <v>0.70710678118654757</v>
      </c>
      <c r="H16" s="10">
        <f t="shared" si="0"/>
        <v>0</v>
      </c>
      <c r="I16" s="10">
        <f t="shared" si="0"/>
        <v>1</v>
      </c>
      <c r="J16" s="10">
        <f>SIN(RADIANS(E16))</f>
        <v>-4.3315539021305322E-17</v>
      </c>
      <c r="K16" s="14">
        <f>COS(RADIANS(E16))</f>
        <v>1</v>
      </c>
      <c r="L16" s="15"/>
      <c r="M16" s="5" t="s">
        <v>26</v>
      </c>
      <c r="N16" s="5">
        <f>INDEX(F15:K18,3,3)*INDEX(F15:K18,2,1)*INDEX(F15:K18,3,5)-INDEX(F15:K18,4,4)*INDEX(F15:K18,3,1)*INDEX(F15:K18,2,1)*INDEX(F15:K18,3,6)+INDEX(F15:K18,4,4)*INDEX(F15:K18,2,1)*INDEX(F15:K18,3,2)+INDEX(F15:K18,3,4)*INDEX(F15:K18,2,2)</f>
        <v>0</v>
      </c>
      <c r="O16" s="19">
        <f t="shared" si="1"/>
        <v>16</v>
      </c>
      <c r="P16" s="5" t="s">
        <v>22</v>
      </c>
      <c r="Q16" s="5">
        <f>N14^2+N15^2+N16^2+INDEX(F15:K18,2,3)^2+INDEX(F15:K18,2,4)^2+2*INDEX(F15:K18,2,4)*N16</f>
        <v>2.9999999999999996</v>
      </c>
    </row>
    <row r="17" spans="1:21" x14ac:dyDescent="0.25">
      <c r="A17" s="12">
        <v>3</v>
      </c>
      <c r="B17" s="22">
        <v>0</v>
      </c>
      <c r="C17" s="22">
        <v>1</v>
      </c>
      <c r="D17" s="22">
        <v>1</v>
      </c>
      <c r="E17" s="35">
        <f>I10</f>
        <v>-90</v>
      </c>
      <c r="F17" s="10">
        <f>SIN(RADIANS(B17))</f>
        <v>0</v>
      </c>
      <c r="G17" s="10">
        <f>COS(RADIANS(B17))</f>
        <v>1</v>
      </c>
      <c r="H17" s="10">
        <f t="shared" si="0"/>
        <v>1</v>
      </c>
      <c r="I17" s="10">
        <f t="shared" si="0"/>
        <v>1</v>
      </c>
      <c r="J17" s="10">
        <f>SIN(RADIANS(E17))</f>
        <v>-1</v>
      </c>
      <c r="K17" s="14">
        <f>COS(RADIANS(E17))</f>
        <v>6.1257422745431001E-17</v>
      </c>
      <c r="L17" s="15"/>
      <c r="M17" s="5" t="s">
        <v>27</v>
      </c>
      <c r="N17" s="5">
        <f>INDEX(F15:K18,2,6)*N14-INDEX(F15:K18,2,5)*N15+INDEX(F15:K18,1,3)</f>
        <v>0</v>
      </c>
      <c r="O17" s="19">
        <f t="shared" si="1"/>
        <v>17</v>
      </c>
      <c r="P17" s="5" t="s">
        <v>23</v>
      </c>
      <c r="Q17" s="5">
        <f>N16*INDEX(F15:K18,1,2)+INDEX(F15:K18,2,4)*INDEX(F15:K18,1,2)</f>
        <v>6.1257422745431001E-17</v>
      </c>
    </row>
    <row r="18" spans="1:21" x14ac:dyDescent="0.25">
      <c r="A18" s="12">
        <v>4</v>
      </c>
      <c r="B18" s="22">
        <v>0</v>
      </c>
      <c r="C18" s="22">
        <v>0</v>
      </c>
      <c r="D18" s="22">
        <v>0</v>
      </c>
      <c r="E18" s="35">
        <v>0</v>
      </c>
      <c r="F18" s="10">
        <f>SIN(RADIANS(B18))</f>
        <v>0</v>
      </c>
      <c r="G18" s="10">
        <f>COS(RADIANS(B18))</f>
        <v>1</v>
      </c>
      <c r="H18" s="10">
        <f t="shared" si="0"/>
        <v>0</v>
      </c>
      <c r="I18" s="10">
        <f t="shared" si="0"/>
        <v>0</v>
      </c>
      <c r="J18" s="10">
        <f>SIN(RADIANS(E18))</f>
        <v>0</v>
      </c>
      <c r="K18" s="14">
        <f>COS(RADIANS(E18))</f>
        <v>1</v>
      </c>
      <c r="L18" s="15"/>
      <c r="M18" s="5" t="s">
        <v>28</v>
      </c>
      <c r="N18" s="5">
        <f>INDEX(F15:K18,2,5)*INDEX(F15:K18,1,2)*N14+INDEX(F15:K18,2,6)*INDEX(F15:K18,1,2)*N15-INDEX(F15:K18,1,1)*N16-INDEX(F15:K18,2,4)*INDEX(F15:K18,1,1)</f>
        <v>0.99999999999999989</v>
      </c>
      <c r="O18" s="19">
        <f t="shared" si="1"/>
        <v>18</v>
      </c>
      <c r="P18" s="5" t="s">
        <v>30</v>
      </c>
      <c r="Q18" s="5">
        <f>IF(ABS(INDEX(F15:K18,1,3))&gt;0.001,(Q14*INDEX(F15:K18,2,6)+Q15*INDEX(F15:K18,2,5))*2*INDEX(F15:K18,1,3)+Q16,Q16)</f>
        <v>2.9999999999999996</v>
      </c>
    </row>
    <row r="19" spans="1:21" x14ac:dyDescent="0.25">
      <c r="E19" s="37"/>
      <c r="L19" s="15"/>
      <c r="M19" s="5" t="s">
        <v>29</v>
      </c>
      <c r="N19" s="5">
        <f>INDEX(F15:K18,2,5)*INDEX(F15:K18,1,1)*N14+INDEX(F15:K18,2,6)*INDEX(F15:K18,1,1)*N15+INDEX(F15:K18,1,2)*N16+INDEX(F15:K18,2,4)*INDEX(F15:K18,1,2)</f>
        <v>1.4142135623730949</v>
      </c>
      <c r="O19" s="19">
        <f t="shared" si="1"/>
        <v>19</v>
      </c>
      <c r="P19" s="5" t="s">
        <v>31</v>
      </c>
      <c r="Q19" s="5">
        <f>IF(ABS(INDEX(F15:K18,1,1))&gt;0.001,(Q14*INDEX(F15:K18,2,5)-Q15*INDEX(F15:K18,2,6))*INDEX(F15:K18,1,1)+Q17,Q17)</f>
        <v>1.4142135623730949</v>
      </c>
    </row>
    <row r="20" spans="1:21" s="3" customFormat="1" x14ac:dyDescent="0.25">
      <c r="A20"/>
      <c r="B20"/>
      <c r="C20"/>
      <c r="D20"/>
      <c r="E20" s="1"/>
      <c r="F20" s="1"/>
      <c r="J20" s="2"/>
      <c r="K20" s="2"/>
      <c r="L20" s="15"/>
      <c r="M20" s="5"/>
      <c r="N20" s="5"/>
      <c r="O20" s="19">
        <f t="shared" si="1"/>
        <v>20</v>
      </c>
      <c r="P20" s="5" t="s">
        <v>38</v>
      </c>
      <c r="Q20" s="5">
        <f>N9^2+O9^2+P9^2</f>
        <v>3.0000000000000004</v>
      </c>
      <c r="T20" s="16" t="s">
        <v>71</v>
      </c>
    </row>
    <row r="21" spans="1:21" x14ac:dyDescent="0.25">
      <c r="H21" s="20"/>
      <c r="I21" s="21" t="s">
        <v>63</v>
      </c>
      <c r="J21" s="21" t="s">
        <v>64</v>
      </c>
      <c r="K21" s="2" t="s">
        <v>65</v>
      </c>
      <c r="L21" s="15"/>
      <c r="O21" s="19">
        <f t="shared" si="1"/>
        <v>21</v>
      </c>
      <c r="P21" s="5" t="s">
        <v>39</v>
      </c>
      <c r="Q21" s="1">
        <f>P9</f>
        <v>1.4142135623730951</v>
      </c>
      <c r="S21" s="20"/>
      <c r="T21" s="21" t="s">
        <v>63</v>
      </c>
      <c r="U21" s="21" t="s">
        <v>64</v>
      </c>
    </row>
    <row r="22" spans="1:21" ht="18.75" x14ac:dyDescent="0.35">
      <c r="B22" s="2"/>
      <c r="C22" s="2"/>
      <c r="D22" s="40" t="s">
        <v>70</v>
      </c>
      <c r="H22" s="33" t="s">
        <v>56</v>
      </c>
      <c r="I22" s="32" t="s">
        <v>61</v>
      </c>
      <c r="J22" s="9" t="s">
        <v>62</v>
      </c>
      <c r="K22" s="34" t="s">
        <v>57</v>
      </c>
      <c r="L22" s="15"/>
      <c r="M22" s="28" t="s">
        <v>14</v>
      </c>
      <c r="N22" s="28" t="str">
        <f>IF(ABS(INDEX(F15:K18,1,3))&gt;0.001,IF(ABS(INDEX(F15:K18,1,1))&gt;0.001,(Q18-Q16)^2/4/INDEX(F15:K18,1,3)^2+(Q19-Q17)^2/INDEX(F15:K18,1,1)^2,"NA"),"NA")</f>
        <v>NA</v>
      </c>
      <c r="O22"/>
      <c r="P22" s="28" t="s">
        <v>15</v>
      </c>
      <c r="Q22" s="28">
        <f>Q14^2+Q15^2</f>
        <v>1.9999999999999996</v>
      </c>
      <c r="S22" s="33" t="s">
        <v>56</v>
      </c>
      <c r="T22" s="9" t="s">
        <v>62</v>
      </c>
      <c r="U22" s="32" t="s">
        <v>61</v>
      </c>
    </row>
    <row r="23" spans="1:21" x14ac:dyDescent="0.25">
      <c r="B23" s="16" t="s">
        <v>67</v>
      </c>
      <c r="C23" s="38" t="s">
        <v>68</v>
      </c>
      <c r="D23" s="41" t="s">
        <v>69</v>
      </c>
      <c r="E23" s="39" t="s">
        <v>34</v>
      </c>
      <c r="F23" s="28" t="s">
        <v>66</v>
      </c>
      <c r="H23" s="30" t="s">
        <v>55</v>
      </c>
      <c r="I23" s="5" t="s">
        <v>58</v>
      </c>
      <c r="J23" s="5" t="s">
        <v>59</v>
      </c>
      <c r="K23" s="5" t="s">
        <v>60</v>
      </c>
      <c r="R23" s="29"/>
      <c r="S23" s="30" t="s">
        <v>55</v>
      </c>
      <c r="T23" s="5" t="s">
        <v>58</v>
      </c>
      <c r="U23" s="5" t="s">
        <v>59</v>
      </c>
    </row>
    <row r="24" spans="1:21" x14ac:dyDescent="0.25">
      <c r="B24" s="43">
        <v>-180</v>
      </c>
      <c r="C24" s="43">
        <v>0</v>
      </c>
      <c r="D24" s="44">
        <v>5</v>
      </c>
      <c r="E24" s="27">
        <f>B$24+(C$24-B$24)/10*D24</f>
        <v>-90</v>
      </c>
      <c r="F24" s="28">
        <f>Q10</f>
        <v>2.0543252740130515E-30</v>
      </c>
      <c r="H24" s="30" t="s">
        <v>50</v>
      </c>
      <c r="I24" s="31">
        <f>-Q15</f>
        <v>-1.4142135623730949</v>
      </c>
      <c r="J24" s="31">
        <f>Q14</f>
        <v>6.1257422745431001E-17</v>
      </c>
      <c r="K24" s="1"/>
      <c r="R24" s="28"/>
      <c r="S24" s="30" t="s">
        <v>50</v>
      </c>
      <c r="T24" s="31">
        <f>INDEX(F15:K18,4,4)*INDEX(F15:K18,3,1)*INDEX(F15:K18,2,1)*INDEX(F15:K18,3,6)</f>
        <v>0</v>
      </c>
    </row>
    <row r="25" spans="1:21" x14ac:dyDescent="0.25">
      <c r="B25" s="2"/>
      <c r="C25" s="2"/>
      <c r="D25" s="2"/>
      <c r="E25" s="24"/>
      <c r="F25" s="28" t="s">
        <v>41</v>
      </c>
      <c r="H25" s="30" t="s">
        <v>51</v>
      </c>
      <c r="I25" s="31">
        <f>Q14</f>
        <v>6.1257422745431001E-17</v>
      </c>
      <c r="J25" s="31">
        <f>Q15</f>
        <v>1.4142135623730949</v>
      </c>
      <c r="K25" s="1"/>
      <c r="N25" s="22">
        <v>-90</v>
      </c>
      <c r="O25" s="22">
        <v>0</v>
      </c>
      <c r="P25" s="22">
        <v>0</v>
      </c>
      <c r="S25" s="30" t="s">
        <v>51</v>
      </c>
      <c r="T25" s="31">
        <f>INDEX(F15:K18,3,3)*INDEX(F15:K18,2,1)*INDEX(F15:K18,3,5)</f>
        <v>-0.70710678118654746</v>
      </c>
    </row>
    <row r="26" spans="1:21" x14ac:dyDescent="0.25">
      <c r="B26" s="2"/>
      <c r="C26" s="2"/>
      <c r="D26" s="2"/>
      <c r="H26" s="30" t="s">
        <v>52</v>
      </c>
      <c r="I26" s="31">
        <f>IF(ABS(F15)&lt;0.0001, "NA",(Q21-Q17)/F15)</f>
        <v>-1.4142135623730951</v>
      </c>
      <c r="J26" s="31">
        <f>IF(ABS(Q15)&lt;0.0001, "NA",(Q20-Q16)/(2*Q15))</f>
        <v>3.1401849173675503E-16</v>
      </c>
      <c r="K26" s="1"/>
      <c r="N26" s="22">
        <v>45</v>
      </c>
      <c r="O26" s="22">
        <v>0</v>
      </c>
      <c r="P26" s="22">
        <v>1</v>
      </c>
      <c r="R26" s="29"/>
      <c r="S26" s="30" t="s">
        <v>52</v>
      </c>
      <c r="T26" s="31">
        <f>P9-INDEX(F15:K18,4,4)*INDEX(F15:K18,2,1)*INDEX(F15:K18,3,2)-INDEX(F15:K18,3,4)*INDEX(F15:K18,2,2)-INDEX(F15:K18,2,4)</f>
        <v>-0.29289321881345243</v>
      </c>
    </row>
    <row r="27" spans="1:21" x14ac:dyDescent="0.25">
      <c r="H27" s="30" t="s">
        <v>54</v>
      </c>
      <c r="I27" s="31">
        <f>IF(ABS(I24^2+I25^2-I26^2)&lt;0.0001,0,SQRT(I24^2+I25^2-I26^2))</f>
        <v>0</v>
      </c>
      <c r="J27" s="31">
        <f>IF(ABS(J24^2+J25^2-J26^2)&lt;0,0,SQRT(J24^2+J25^2-J26^2))</f>
        <v>1.4142135623730949</v>
      </c>
      <c r="K27" s="1"/>
      <c r="N27" s="22">
        <v>0</v>
      </c>
      <c r="O27" s="22">
        <v>1</v>
      </c>
      <c r="P27" s="22">
        <v>1</v>
      </c>
      <c r="S27" s="30" t="s">
        <v>54</v>
      </c>
      <c r="T27" s="31">
        <f>IF(ABS(T24^2+T25^2-T26^2)&lt;0.0001,0,SQRT(T24^2+T25^2-T26^2))</f>
        <v>0.64359425290558259</v>
      </c>
    </row>
    <row r="28" spans="1:21" x14ac:dyDescent="0.25">
      <c r="H28" s="30" t="s">
        <v>53</v>
      </c>
      <c r="I28" s="31">
        <f>IF(ABS(F15)&lt;0.0001, "NA",(I25+I27)/(I24+I26))</f>
        <v>-2.1657769510652661E-17</v>
      </c>
      <c r="J28" s="31" t="str">
        <f>IF(ABS(J24+J26)&lt;0.0001, "NA",(J25+J27)/(J24+J26))</f>
        <v>NA</v>
      </c>
      <c r="K28" s="1"/>
      <c r="N28" s="22">
        <v>0</v>
      </c>
      <c r="O28" s="22">
        <v>0</v>
      </c>
      <c r="P28" s="22">
        <v>0</v>
      </c>
      <c r="S28" s="30" t="s">
        <v>53</v>
      </c>
      <c r="T28" s="31" t="str">
        <f>IF(ABS(F15)&gt;0.0001, "NA",(T25+T27)/(T24+T26))</f>
        <v>NA</v>
      </c>
    </row>
    <row r="29" spans="1:21" x14ac:dyDescent="0.25">
      <c r="H29" s="16" t="s">
        <v>35</v>
      </c>
      <c r="I29" s="42">
        <f>IF(ABS(F15)&lt;0.0001, "NA", DEGREES(2*ATAN(I28)))</f>
        <v>-2.4817975732550234E-15</v>
      </c>
      <c r="J29" s="42" t="str">
        <f>IF(J28="NA",J28, DEGREES(2*ATAN(J28)))</f>
        <v>NA</v>
      </c>
      <c r="K29" s="27">
        <f>DEGREES(ASIN((J24*I26+I24*J26)/(J24*I25+I24*J25)))</f>
        <v>1.5204016299109096E-14</v>
      </c>
      <c r="S29" s="16" t="s">
        <v>35</v>
      </c>
      <c r="T29" s="42" t="str">
        <f>IF(ABS(F15)&gt;0.0001, "NA", DEGREES(2*ATAN(T28)))</f>
        <v>NA</v>
      </c>
      <c r="U29" s="42" t="str">
        <f>IF(J28="NA",J28, DEGREES(2*ATAN(J28)))</f>
        <v>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Pieper's Solution</vt:lpstr>
      <vt:lpstr>Pieper's Problem (4.16)</vt:lpstr>
      <vt:lpstr>Pieper's Problem (4.17)</vt:lpstr>
      <vt:lpstr>Work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Man Bae</dc:creator>
  <cp:lastModifiedBy>Hee Man Bae</cp:lastModifiedBy>
  <cp:lastPrinted>2014-09-28T18:07:15Z</cp:lastPrinted>
  <dcterms:created xsi:type="dcterms:W3CDTF">2014-09-27T09:28:55Z</dcterms:created>
  <dcterms:modified xsi:type="dcterms:W3CDTF">2014-10-20T18:11:49Z</dcterms:modified>
</cp:coreProperties>
</file>